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 activeTab="6"/>
  </bookViews>
  <sheets>
    <sheet name="00_摘要 Summary" sheetId="1" r:id="rId1"/>
    <sheet name="01_假设 Assumptions" sheetId="2" r:id="rId2"/>
    <sheet name="02_基线 Baseline" sheetId="3" r:id="rId3"/>
    <sheet name="03_收益 Benefit" sheetId="4" r:id="rId4"/>
    <sheet name="04_ROI 回报" sheetId="5" r:id="rId5"/>
    <sheet name="05_月现金流 Ramp" sheetId="6" r:id="rId6"/>
    <sheet name="06_情景 Scenario" sheetId="7" r:id="rId7"/>
    <sheet name="07_敏感性 Sensitivity" sheetId="8" r:id="rId8"/>
    <sheet name="08_PoC实测 PoC Log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<sst xmlns="http://schemas.openxmlformats.org/spreadsheetml/2006/main" count="363" uniqueCount="259">
  <si>
    <t>AI 订单运营 Agent —— 商业论证摘要（一页看完）</t>
  </si>
  <si>
    <t>AI Order Operations Agent — Business Case Summary (one page)</t>
  </si>
  <si>
    <t>一、关键指标 / 1. Key Metrics</t>
  </si>
  <si>
    <t>初始实施投入 / Initial Investment</t>
  </si>
  <si>
    <t>元</t>
  </si>
  <si>
    <t>年度净收益 / Net Annual Benefit</t>
  </si>
  <si>
    <t>元/年</t>
  </si>
  <si>
    <t>稳态月度净收益 / Steady-state Monthly Net Benefit</t>
  </si>
  <si>
    <t>元/月</t>
  </si>
  <si>
    <t>含爬坡回本月份（基准） / Repay month incl. ramp (Base)</t>
  </si>
  <si>
    <t>月</t>
  </si>
  <si>
    <t>首年收益 / 投入倍数 / Year-1 Benefit-to-Investment</t>
  </si>
  <si>
    <t>倍</t>
  </si>
  <si>
    <t>三年累计净收益 / 3-year Cumulative Net Benefit</t>
  </si>
  <si>
    <t>三年 NPV（折现 10%） / 3-year NPV @10%</t>
  </si>
  <si>
    <t>二、收益从哪里来 / 2. Where the Benefit Comes From</t>
  </si>
  <si>
    <t>订单创建节省工时 / Order creation hours saved</t>
  </si>
  <si>
    <t>小时/年</t>
  </si>
  <si>
    <t>订单跟进节省工时 / Follow-up hours saved</t>
  </si>
  <si>
    <t>样品申请节省工时 / Sample request hours saved</t>
  </si>
  <si>
    <t>异常处理节省工时 / Exception handling hours saved</t>
  </si>
  <si>
    <t>减：人工复核新增工时 / Less: added review hours</t>
  </si>
  <si>
    <t>净节省工时（折算采纳率前） / Net hours saved (before adoption)</t>
  </si>
  <si>
    <t>三、收益口径 / 3. How the Benefit Works</t>
  </si>
  <si>
    <t>产能收益：释放的工时用于多接订单、多开发客户，同等人力承接更多业务。 / Capacity: same team handles more business.</t>
  </si>
  <si>
    <t>现金收益：减少加班工时；业务增长时避免新增编制。 / Cash: less overtime; avoid extra hires when volume grows.</t>
  </si>
  <si>
    <t>质量收益：录错 / SKU 错 / 漏跟进造成的返工、索赔与逾期减少（建议按历史数据补充测算）。 / Quality: fewer rework, claims, delays.</t>
  </si>
  <si>
    <t>四、主要风险与对策 / 4. Key Risks &amp; Mitigations</t>
  </si>
  <si>
    <t>减少率假设偏乐观 → 用 08_PoC 实测结果替换；先跑单个流程验证再放大。 / Replace assumptions with PoC results; validate one flow first.</t>
  </si>
  <si>
    <t>采纳率不足（销售不用）→ 嵌进现有工具流，按使用率设里程碑。 / Embed into the current workflow; gate milestones on adoption.</t>
  </si>
  <si>
    <t>Agent 出错导致返工 → 保留人工确认点，建立错误率与抽检机制。 / Keep human confirmation; monitor error rate.</t>
  </si>
  <si>
    <t>集成依赖 CRM / ERP 接口 → 先做可导出的降级方案，接口到位后再自动化。 / Start with export-based fallback, automate after APIs are ready.</t>
  </si>
  <si>
    <t>五、口径说明 / 5. Basis of Preparation</t>
  </si>
  <si>
    <t>币种：人民币（CNY）。工作日按双休制 250 天/年。 / Currency: CNY. Working days: 250/yr (5-day week).</t>
  </si>
  <si>
    <t>“每人每年处理订单次数”“每年样品申请次数”均为次数口径，不是数量。 / Both are counts of submissions, not quantities.</t>
  </si>
  <si>
    <t>本页与后续各页全部为公式联动：修改 01_Assumptions 即可全表重算。 / All figures are live formulas driven by 01_Assumptions.</t>
  </si>
  <si>
    <t>回本口径已包含爬坡期（保守 5 个月 / 基准 4 个月 / 乐观 3 个月）。 / Payback includes ramp-up period.</t>
  </si>
  <si>
    <t>AI 订单运营 Agent —— ROI 与商业论证（基准参数）</t>
  </si>
  <si>
    <t>AI Order Operations Agent — ROI &amp; Business Case (Baseline Parameters)</t>
  </si>
  <si>
    <t>本页是所有计算的唯一输入；只改这里，其余页自动重算。 / Single source of inputs; all other sheets recalculate.</t>
  </si>
  <si>
    <t>一、业务规模 / 1. Business Scale</t>
  </si>
  <si>
    <t>销售人数 / Number of Sales</t>
  </si>
  <si>
    <t>人 people</t>
  </si>
  <si>
    <t>示例预估</t>
  </si>
  <si>
    <t>每人每年处理订单次数（是次数，不是数量） / Orders Handled per Sales per Year (times)</t>
  </si>
  <si>
    <t>次 times</t>
  </si>
  <si>
    <t>示例预估，可换为实际值</t>
  </si>
  <si>
    <t>每年样品申请次数（是次数，不是数量） / Annual Sample Request Submissions (times)</t>
  </si>
  <si>
    <t>工作日（按双休） / Working Days (5-day week)</t>
  </si>
  <si>
    <t>天/年 days</t>
  </si>
  <si>
    <t>365 − 104 周末 − 约 11 天法定假</t>
  </si>
  <si>
    <t>二、人工成本推导（工资 → 人天 → 人时，可审计）/ 2. Labor Cost Derivation</t>
  </si>
  <si>
    <t>销售平均月薪（税前） / Average Sales Monthly Salary</t>
  </si>
  <si>
    <t>元/月 CNY/month</t>
  </si>
  <si>
    <t>按公司实际平均薪资填写</t>
  </si>
  <si>
    <t>全成本系数 / Fully Loaded Factor</t>
  </si>
  <si>
    <t>倍 ×</t>
  </si>
  <si>
    <t>社保 + 公积金 + 管理分摊：1.3–1.4</t>
  </si>
  <si>
    <t>月工作天数 / Working Days per Month</t>
  </si>
  <si>
    <t>天/月 days</t>
  </si>
  <si>
    <t>法定口径 21.75 天</t>
  </si>
  <si>
    <t>日工作小时 / Hours per Day</t>
  </si>
  <si>
    <t>小时/天 h</t>
  </si>
  <si>
    <t>人工时薪（自动计算） / Labor Cost per Hour (calculated)</t>
  </si>
  <si>
    <t>元/小时 CNY/hour</t>
  </si>
  <si>
    <t>月薪 × 系数 ÷ 21.75 天 ÷ 8 小时（自动计算）</t>
  </si>
  <si>
    <t>三、当前人工耗用基线 / 3. Manual Effort Baseline</t>
  </si>
  <si>
    <t>每次订单创建耗时 / Time per Order Creation</t>
  </si>
  <si>
    <t>小时/次 h</t>
  </si>
  <si>
    <t>每次订单跟进耗时 / Time per Follow-up</t>
  </si>
  <si>
    <t>每次样品申请耗时 / Time per Sample Request</t>
  </si>
  <si>
    <t>每次异常处理耗时 / Time per Exception</t>
  </si>
  <si>
    <t>每单平均跟进次数 / Follow-ups per Order</t>
  </si>
  <si>
    <t>每单平均异常次数 / Exceptions per Order</t>
  </si>
  <si>
    <t>四、Agent 目标假设 / 4. Agent Target Assumptions</t>
  </si>
  <si>
    <t>订单创建时间减少率 / Order Creation Time Reduction</t>
  </si>
  <si>
    <t>%</t>
  </si>
  <si>
    <t>建议用 PoC 实测值替换</t>
  </si>
  <si>
    <t>订单跟进时间减少率 / Follow-up Time Reduction</t>
  </si>
  <si>
    <t>样品申请时间减少率 / Sample Request Time Reduction</t>
  </si>
  <si>
    <t>异常处理时间减少率 / Exception Handling Reduction</t>
  </si>
  <si>
    <t>采纳率（实际使用比例） / Adoption Rate</t>
  </si>
  <si>
    <t>关键因子：并非所有人都会用</t>
  </si>
  <si>
    <t>五、人工复核（新增成本）/ 5. Manual Review (added cost)</t>
  </si>
  <si>
    <t>每单人工复核耗时 / Manual Review per Order</t>
  </si>
  <si>
    <t>Agent 结果由人抽查确认</t>
  </si>
  <si>
    <t>每次跟进人工复核耗时 / Manual Review per Follow-up</t>
  </si>
  <si>
    <t>六、内部人天单价推导（人天 = 1 个人做 1 天；单价 = 月薪 × 系数 ÷ 21.75） / 6. Internal Day-Rate Derivation</t>
  </si>
  <si>
    <t>产品 / 需求 月薪 / PM monthly salary</t>
  </si>
  <si>
    <t>按公司内部职级实际薪资填</t>
  </si>
  <si>
    <t>开发 月薪 / Developer monthly salary</t>
  </si>
  <si>
    <t>用户校准：开发应高于 2.1 万</t>
  </si>
  <si>
    <t>数据 / 实施 月薪 / Data / implementation monthly salary</t>
  </si>
  <si>
    <t>产品 / 需求 人天单价 / PM day rate</t>
  </si>
  <si>
    <t>元/人天</t>
  </si>
  <si>
    <t>月薪 × 1.35 ÷ 21.75</t>
  </si>
  <si>
    <t>开发 人天单价 / Developer day rate</t>
  </si>
  <si>
    <t>数据 / 实施 人天单价 / Data day rate</t>
  </si>
  <si>
    <t>七、实施投入拆解（工作量单位 = 人天，即 1 人做 1 天）/ 7. Initial Investment Breakdown</t>
  </si>
  <si>
    <t>需求与流程梳理 / Discovery &amp; Process Mapping</t>
  </si>
  <si>
    <t>元 CNY</t>
  </si>
  <si>
    <t>6 人天（1 名产品 × 6 天）</t>
  </si>
  <si>
    <t>Agent 与集成开发 / Agent &amp; Integration Development</t>
  </si>
  <si>
    <t>30 人天（1 名开发 × 30 天 ≈ 1.5 人月）</t>
  </si>
  <si>
    <t>数据准备与字段映射 / Data Preparation &amp; Field Mapping</t>
  </si>
  <si>
    <t>8 人天（1 人 × 8 天）</t>
  </si>
  <si>
    <t>测试与评估 / Testing &amp; Evaluation</t>
  </si>
  <si>
    <t>5 名销售 × 2 天 × 8 小时 + 评估整理 3 人天</t>
  </si>
  <si>
    <t>培训与变更管理 / Training &amp; Change Management</t>
  </si>
  <si>
    <t>20 人 × 0.5 天 × 8 小时（内部讲，不请外部讲师）</t>
  </si>
  <si>
    <t>预留（风险缓冲 10%） / Contingency (10%)</t>
  </si>
  <si>
    <t>前五项合计的 10%</t>
  </si>
  <si>
    <t>初始实施投入合计 / Total Initial Investment</t>
  </si>
  <si>
    <t>八、年度运营成本拆解 / 8. Annual Operating Cost Breakdown</t>
  </si>
  <si>
    <t>平台 / API 订阅 / Platform &amp; API Subscription</t>
  </si>
  <si>
    <t>元/年 CNY/yr</t>
  </si>
  <si>
    <t>20 人 × ¥50/人/月 × 12 个月（内部模型订阅量级）</t>
  </si>
  <si>
    <t>服务器与存储 / Server &amp; Storage</t>
  </si>
  <si>
    <t>云主机 + 存储 + 备份 ≈ ¥500/月</t>
  </si>
  <si>
    <t>运维人力（0.1 FTE，月薪 2.5 万） / Maintenance (0.1 FTE)</t>
  </si>
  <si>
    <t>月薪 ¥25,000 × 1.35 × 12 × 0.1（提示词/字段映射/知识库维护）</t>
  </si>
  <si>
    <t>年度运营成本合计 / Total Annual Operating Cost</t>
  </si>
  <si>
    <t>八、情景参数 / 8. Scenario Parameters</t>
  </si>
  <si>
    <t>情景 / Scenario</t>
  </si>
  <si>
    <t>减少率系数 / Reduction ×</t>
  </si>
  <si>
    <t>采纳率 / Adoption</t>
  </si>
  <si>
    <t>爬坡月数 / Ramp months</t>
  </si>
  <si>
    <t>保守 / Conservative</t>
  </si>
  <si>
    <t>基准 / Base</t>
  </si>
  <si>
    <t>乐观 / Upside</t>
  </si>
  <si>
    <t>当前业务基线</t>
  </si>
  <si>
    <t>Current Business Baseline</t>
  </si>
  <si>
    <t>一、年度业务量 / 1. Annual Business Volume</t>
  </si>
  <si>
    <t>年度订单量 / Annual Orders</t>
  </si>
  <si>
    <t>次/年</t>
  </si>
  <si>
    <t>年度订单跟进次数 / Annual Follow-ups</t>
  </si>
  <si>
    <t>年度样品申请次数 / Annual Sample Requests</t>
  </si>
  <si>
    <t>年度异常次数 / Annual Exceptions</t>
  </si>
  <si>
    <t>二、年度人工投入（小时）/ 2. Annual Manual Effort (hours)</t>
  </si>
  <si>
    <t>订单创建 / Order Creation</t>
  </si>
  <si>
    <t>订单跟进 / Order Follow-up</t>
  </si>
  <si>
    <t>样品申请 / Sample Requests</t>
  </si>
  <si>
    <t>异常处理 / Exception Handling</t>
  </si>
  <si>
    <t>合计人工小时 / Total Manual Hours</t>
  </si>
  <si>
    <t>年度人工成本 / Annual Manual Labor Cost</t>
  </si>
  <si>
    <t>三、基线校验（先自证，别人才信）/ 3. Baseline Sanity Check</t>
  </si>
  <si>
    <t>人均每天耗用小时 / Hours per Person per Day</t>
  </si>
  <si>
    <t>小时/人/天</t>
  </si>
  <si>
    <t>≈1.8 小时/天；偏高或偏低都要回头检查假设</t>
  </si>
  <si>
    <t>收益模型</t>
  </si>
  <si>
    <t>Benefit Model</t>
  </si>
  <si>
    <t>一、毛节省工时 / 1. Gross Hours Saved</t>
  </si>
  <si>
    <t>订单创建节省 / Order Creation Saved</t>
  </si>
  <si>
    <t>订单跟进节省 / Follow-up Saved</t>
  </si>
  <si>
    <t>样品申请节省 / Sample Requests Saved</t>
  </si>
  <si>
    <t>异常处理节省 / Exceptions Saved</t>
  </si>
  <si>
    <t>毛节省合计 / Total Gross Hours Saved</t>
  </si>
  <si>
    <t>二、人工复核（新增扣减）/ 2. Manual Review (deduction)</t>
  </si>
  <si>
    <t>订单复核 / Order Review</t>
  </si>
  <si>
    <t>跟进复核 / Follow-up Review</t>
  </si>
  <si>
    <t>复核合计 / Total Review Hours</t>
  </si>
  <si>
    <t>三、净节省与净收益 / 3. Net Savings and Net Benefit</t>
  </si>
  <si>
    <t>净节省工时 / Net Hours Saved</t>
  </si>
  <si>
    <t>净节省人工成本（未折采纳率） / Net Labor Cost Saved (before adoption)</t>
  </si>
  <si>
    <t>按采纳率调整后 / After Adoption Rate</t>
  </si>
  <si>
    <t>采纳率 &lt; 100%：并非所有人都会用</t>
  </si>
  <si>
    <t>减：年度运营成本 / Less: Annual Operating Cost</t>
  </si>
  <si>
    <t>四、收益口径（本表不使用“减员”口径）/ 4. How the Benefit Works (no headcount cut)</t>
  </si>
  <si>
    <t>A 产能收益：释放的工时用于多接订单、多开发客户，同等人力承接更多业务。 / Capacity: same team handles more business.</t>
  </si>
  <si>
    <t>B 现金收益：减少加班工时；业务增长时避免新增编制（不需要裁减任何人）。 / Cash: less overtime; avoid extra hires.</t>
  </si>
  <si>
    <t>C 质量收益：录错 / SKU 错 / 漏跟进造成的返工与索赔减少（建议按历史数据另算）。 / Quality: fewer rework and claims.</t>
  </si>
  <si>
    <t>投资回报</t>
  </si>
  <si>
    <t>Return on Investment</t>
  </si>
  <si>
    <t>一、核心指标 / 1. Core Metrics</t>
  </si>
  <si>
    <t>稳态回本周期（无爬坡，仅供参照） / Payback (steady state, reference only)</t>
  </si>
  <si>
    <t>对比口径</t>
  </si>
  <si>
    <t>含爬坡回本月份（基准情景，对外口径） / Repay month incl. ramp (Base)</t>
  </si>
  <si>
    <t>见 05_Monthly Ramp</t>
  </si>
  <si>
    <t>首年 ROI（净收益 − 投入）/ 投入 / Year-1 ROI (net − invest)/invest</t>
  </si>
  <si>
    <t>与“倍数”是同一事实的两种表达</t>
  </si>
  <si>
    <t>二、三年现金流 / 2. Cash Flow (3 years)</t>
  </si>
  <si>
    <t>项目 / Item</t>
  </si>
  <si>
    <t>T0</t>
  </si>
  <si>
    <t>第 1 年 / Year 1</t>
  </si>
  <si>
    <t>第 2 年 / Year 2</t>
  </si>
  <si>
    <t>第 3 年 / Year 3</t>
  </si>
  <si>
    <t>现金流 / Cash flow (元)</t>
  </si>
  <si>
    <t>三年累计净收益 / Cumulative net (元)</t>
  </si>
  <si>
    <t>三年 ROI / 3-year ROI</t>
  </si>
  <si>
    <t>三年 NPV（折现 10%）/ NPV @10%</t>
  </si>
  <si>
    <t>三年 IRR / IRR (3-year)</t>
  </si>
  <si>
    <t>月度爬坡现金流</t>
  </si>
  <si>
    <t>Monthly Ramp-up Cash Flow</t>
  </si>
  <si>
    <t>月净收益 = 年度净收益 ÷ 12 × MIN(1, 月份 ÷ 爬坡月数)。回本 = 累计净收益首次 ≥ 初始投入的月份。</t>
  </si>
  <si>
    <t>年度净收益 / Net annual</t>
  </si>
  <si>
    <t>月份 / Month</t>
  </si>
  <si>
    <t>月净收益 / Monthly net (元)</t>
  </si>
  <si>
    <t>累计净收益 / Cumulative (元)</t>
  </si>
  <si>
    <t>是否已回本 / Repaid</t>
  </si>
  <si>
    <t>回本月份 / Repay month</t>
  </si>
  <si>
    <t>情景分析</t>
  </si>
  <si>
    <t>Scenario Analysis</t>
  </si>
  <si>
    <t>每个情景 = 减少率系数 × 采纳率 × 爬坡月数 的参数组合（不是简单乘总数）。 / Each scenario is a parameter combination.</t>
  </si>
  <si>
    <t>年度净收益 / Net annual (元)</t>
  </si>
  <si>
    <t>稳态回本 / Payback steady (月)</t>
  </si>
  <si>
    <t>含爬坡回本 / Payback w/ ramp (月)</t>
  </si>
  <si>
    <t>敏感性分析（单因子 + 双因子）</t>
  </si>
  <si>
    <t>Sensitivity Analysis (one-way + two-way)</t>
  </si>
  <si>
    <t>每行只改一个因子，其余保持基准；口径修正：改某一类减少率时只影响该类工时，不再缩放全部节省。</t>
  </si>
  <si>
    <t>一、单因子：四类减少率各 ±20% / 1. One-way on each reduction rate</t>
  </si>
  <si>
    <t>因子 / Factor</t>
  </si>
  <si>
    <t>取值 / Value</t>
  </si>
  <si>
    <t>ROI</t>
  </si>
  <si>
    <t>稳态回本 / Payback (月)</t>
  </si>
  <si>
    <t>订单创建 / Order creation ×0.8</t>
  </si>
  <si>
    <t>订单创建 / Order creation 基准 base</t>
  </si>
  <si>
    <t>订单创建 / Order creation ×1.2</t>
  </si>
  <si>
    <t>订单跟进 / Follow-up ×0.8</t>
  </si>
  <si>
    <t>订单跟进 / Follow-up 基准 base</t>
  </si>
  <si>
    <t>订单跟进 / Follow-up ×1.2</t>
  </si>
  <si>
    <t>样品申请 / Sample ×0.8</t>
  </si>
  <si>
    <t>样品申请 / Sample 基准 base</t>
  </si>
  <si>
    <t>样品申请 / Sample ×1.2</t>
  </si>
  <si>
    <t>异常处理 / Exception ×0.8</t>
  </si>
  <si>
    <t>异常处理 / Exception 基准 base</t>
  </si>
  <si>
    <t>异常处理 / Exception ×1.2</t>
  </si>
  <si>
    <t>二、单因子：采纳率 / 2. One-way on adoption rate</t>
  </si>
  <si>
    <t>采纳率 50%</t>
  </si>
  <si>
    <t>采纳率 60%</t>
  </si>
  <si>
    <t>采纳率 70%</t>
  </si>
  <si>
    <t>采纳率 85%</t>
  </si>
  <si>
    <t>采纳率 95%</t>
  </si>
  <si>
    <t>采纳率 100%</t>
  </si>
  <si>
    <t>三、双因子：减少率系数 × 采纳率 → 年度净收益 / 3. Two-way: reduction × adoption</t>
  </si>
  <si>
    <t>读法：横排 = 有多少比例的人真的在用（采纳率）；竖排 = Agent 效果的折扣（0.7 = 只达到预期的七成）；交叉格 = 该组合下的年度净收益。 / Rows = effectiveness discount, columns = adoption rate, cell = net annual benefit.</t>
  </si>
  <si>
    <t>减少率系数 ↓ / 采纳率 →</t>
  </si>
  <si>
    <t>PoC 实测记录表（用来替换假设里的“减少率”）</t>
  </si>
  <si>
    <t>PoC Measurement Log (to replace the assumed reduction rates)</t>
  </si>
  <si>
    <t>用法：取 20–30 条真实历史 PO（可脱敏），逐条填后面 6 列；下方自动算出“实测时间减少率”，再把它填回 01_Assumptions 的对应减少率。 / Take 20–30 real POs, fill the 6 columns; the summary below computes the measured time reduction.</t>
  </si>
  <si>
    <t>序号</t>
  </si>
  <si>
    <t>样本编号 / Sample</t>
  </si>
  <si>
    <t>字段总数 / Fields</t>
  </si>
  <si>
    <t>识别正确数 / Correct</t>
  </si>
  <si>
    <t>人工耗时(分钟) / Manual min</t>
  </si>
  <si>
    <t>Agent 耗时(分钟) / Agent min</t>
  </si>
  <si>
    <t>人工修正(分钟) / Fix min</t>
  </si>
  <si>
    <t>字段准确率 / Accuracy</t>
  </si>
  <si>
    <t>效率提升 / Time saved</t>
  </si>
  <si>
    <t>一、汇总（自动计算）/ 1. Summary (auto)</t>
  </si>
  <si>
    <t>平均字段识别准确率 / Average field accuracy</t>
  </si>
  <si>
    <t>低于 90% 需要先优化提示词/字段映射</t>
  </si>
  <si>
    <t>平均人工耗时 / Average manual minutes</t>
  </si>
  <si>
    <t>分钟/次</t>
  </si>
  <si>
    <t>平均 Agent 耗时 + 人工修正 / Average agent + fix minutes</t>
  </si>
  <si>
    <t>实测时间减少率 / Measured time reduction</t>
  </si>
  <si>
    <t>把这个数填回 01_Assumptions 的减少率</t>
  </si>
  <si>
    <t>当前假设（订单创建减少率） / Current assumption (order creation)</t>
  </si>
  <si>
    <t>来自 01_Assumptions</t>
  </si>
  <si>
    <t>结论 / Conclusion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</si>
</sst>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"/>
    <numFmt numFmtId="177" formatCode="\¥#,##0.00"/>
  </numFmts>
  <fonts count="25">
    <font>
      <sz val="11"/>
      <color theme="1"/>
      <name val="宋体"/>
      <charset val="134"/>
      <scheme val="minor"/>
    </font>
    <font>
      <b/>
      <sz val="14"/>
      <color rgb="FF0F2027"/>
      <name val="等线"/>
      <charset val="134"/>
    </font>
    <font>
      <sz val="11"/>
      <color rgb="FF6B6B6B"/>
      <name val="等线"/>
      <charset val="134"/>
    </font>
    <font>
      <sz val="10"/>
      <color rgb="FFB08A2E"/>
      <name val="等线"/>
      <charset val="134"/>
    </font>
    <font>
      <b/>
      <sz val="11"/>
      <name val="等线"/>
      <charset val="134"/>
    </font>
    <font>
      <sz val="1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7F8F9"/>
        <bgColor indexed="64"/>
      </patternFill>
    </fill>
    <fill>
      <patternFill patternType="solid">
        <fgColor rgb="FFEAF1F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8DDE1"/>
      </left>
      <right style="thin">
        <color rgb="FFD8DDE1"/>
      </right>
      <top style="thin">
        <color rgb="FFD8DDE1"/>
      </top>
      <bottom style="thin">
        <color rgb="FFD8DDE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/>
    <xf numFmtId="9" fontId="5" fillId="0" borderId="1" xfId="0" applyNumberFormat="1" applyFont="1" applyBorder="1" applyAlignment="1">
      <alignment horizontal="right" vertical="center"/>
    </xf>
    <xf numFmtId="0" fontId="4" fillId="3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3" borderId="0" xfId="0" applyFont="1" applyFill="1"/>
    <xf numFmtId="0" fontId="4" fillId="2" borderId="1" xfId="0" applyFont="1" applyFill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right" vertical="center"/>
    </xf>
    <xf numFmtId="9" fontId="4" fillId="2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76" fontId="5" fillId="3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/>
    <xf numFmtId="0" fontId="4" fillId="2" borderId="1" xfId="0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177" fontId="5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workbookViewId="0">
      <selection activeCell="F20" sqref="F20"/>
    </sheetView>
  </sheetViews>
  <sheetFormatPr defaultColWidth="9" defaultRowHeight="13.5" outlineLevelCol="3"/>
  <cols>
    <col min="1" max="1" width="60" customWidth="1"/>
    <col min="2" max="2" width="20" customWidth="1"/>
    <col min="3" max="3" width="18" customWidth="1"/>
    <col min="4" max="4" width="52" customWidth="1"/>
  </cols>
  <sheetData>
    <row r="1" ht="18" spans="1:1">
      <c r="A1" s="1" t="s">
        <v>0</v>
      </c>
    </row>
    <row r="2" ht="14.25" spans="1:1">
      <c r="A2" s="2" t="s">
        <v>1</v>
      </c>
    </row>
    <row r="4" ht="14.25" spans="1:1">
      <c r="A4" s="28" t="str">
        <f>"投入 "&amp;TEXT('04_ROI 回报'!B5,"¥#,##0")&amp;"，年度净收益 "&amp;TEXT('04_ROI 回报'!B6,"¥#,##0")&amp;"，含爬坡第 "&amp;TEXT('04_ROI 回报'!B9,"0")&amp;" 个月回本；保守情景第 "&amp;TEXT('06_情景 Scenario'!G6,"0")&amp;" 个月，乐观第 "&amp;TEXT('06_情景 Scenario'!G8,"0")&amp;" 个月；三年累计净收益 "&amp;TEXT('04_ROI 回报'!B16,"¥#,##0")&amp;"。币种：人民币。"</f>
        <v>投入 ¥111,972，年度净收益 ¥455,501，含爬坡第 5 个月回本；保守情景第 8 个月，乐观第 4 个月；三年累计净收益 ¥1,366,503。币种：人民币。</v>
      </c>
    </row>
    <row r="6" ht="14.25" spans="1:4">
      <c r="A6" s="8" t="s">
        <v>2</v>
      </c>
      <c r="B6" s="13"/>
      <c r="C6" s="13"/>
      <c r="D6" s="13"/>
    </row>
    <row r="7" ht="14.25" spans="1:4">
      <c r="A7" s="9" t="s">
        <v>3</v>
      </c>
      <c r="B7" s="15">
        <f>'04_ROI 回报'!B5</f>
        <v>111972.413793103</v>
      </c>
      <c r="C7" s="10" t="s">
        <v>4</v>
      </c>
      <c r="D7" s="9"/>
    </row>
    <row r="8" ht="14.25" spans="1:4">
      <c r="A8" s="9" t="s">
        <v>5</v>
      </c>
      <c r="B8" s="15">
        <f>'04_ROI 回报'!B6</f>
        <v>455500.862068966</v>
      </c>
      <c r="C8" s="10" t="s">
        <v>6</v>
      </c>
      <c r="D8" s="9"/>
    </row>
    <row r="9" ht="14.25" spans="1:4">
      <c r="A9" s="9" t="s">
        <v>7</v>
      </c>
      <c r="B9" s="15">
        <f>'04_ROI 回报'!B7</f>
        <v>37958.4051724138</v>
      </c>
      <c r="C9" s="10" t="s">
        <v>8</v>
      </c>
      <c r="D9" s="9"/>
    </row>
    <row r="10" ht="14.25" spans="1:4">
      <c r="A10" s="9" t="s">
        <v>9</v>
      </c>
      <c r="B10" s="18">
        <f>'04_ROI 回报'!B9</f>
        <v>5</v>
      </c>
      <c r="C10" s="10" t="s">
        <v>10</v>
      </c>
      <c r="D10" s="9"/>
    </row>
    <row r="11" ht="14.25" spans="1:4">
      <c r="A11" s="9" t="s">
        <v>11</v>
      </c>
      <c r="B11" s="11">
        <f>'04_ROI 回报'!B10</f>
        <v>4.06797394678492</v>
      </c>
      <c r="C11" s="10" t="s">
        <v>12</v>
      </c>
      <c r="D11" s="9"/>
    </row>
    <row r="12" ht="14.25" spans="1:4">
      <c r="A12" s="9" t="s">
        <v>13</v>
      </c>
      <c r="B12" s="15">
        <f>'04_ROI 回报'!B16</f>
        <v>1366502.5862069</v>
      </c>
      <c r="C12" s="10" t="s">
        <v>4</v>
      </c>
      <c r="D12" s="9"/>
    </row>
    <row r="13" ht="14.25" spans="1:4">
      <c r="A13" s="9" t="s">
        <v>14</v>
      </c>
      <c r="B13" s="15">
        <f>'04_ROI 回报'!B18</f>
        <v>1020790.81193813</v>
      </c>
      <c r="C13" s="10" t="s">
        <v>4</v>
      </c>
      <c r="D13" s="9"/>
    </row>
    <row r="15" ht="14.25" spans="1:4">
      <c r="A15" s="8" t="s">
        <v>15</v>
      </c>
      <c r="B15" s="13"/>
      <c r="C15" s="13"/>
      <c r="D15" s="13"/>
    </row>
    <row r="16" ht="14.25" spans="1:4">
      <c r="A16" s="9" t="s">
        <v>16</v>
      </c>
      <c r="B16" s="18">
        <f>'03_收益 Benefit'!B5</f>
        <v>2160</v>
      </c>
      <c r="C16" s="10" t="s">
        <v>17</v>
      </c>
      <c r="D16" s="9"/>
    </row>
    <row r="17" ht="14.25" spans="1:4">
      <c r="A17" s="9" t="s">
        <v>18</v>
      </c>
      <c r="B17" s="18">
        <f>'03_收益 Benefit'!B6</f>
        <v>3360</v>
      </c>
      <c r="C17" s="10" t="s">
        <v>17</v>
      </c>
      <c r="D17" s="9"/>
    </row>
    <row r="18" ht="14.25" spans="1:4">
      <c r="A18" s="9" t="s">
        <v>19</v>
      </c>
      <c r="B18" s="18">
        <f>'03_收益 Benefit'!B7</f>
        <v>252</v>
      </c>
      <c r="C18" s="10" t="s">
        <v>17</v>
      </c>
      <c r="D18" s="9"/>
    </row>
    <row r="19" ht="14.25" spans="1:4">
      <c r="A19" s="9" t="s">
        <v>20</v>
      </c>
      <c r="B19" s="18">
        <f>'03_收益 Benefit'!B8</f>
        <v>144</v>
      </c>
      <c r="C19" s="10" t="s">
        <v>17</v>
      </c>
      <c r="D19" s="9"/>
    </row>
    <row r="20" ht="14.25" spans="1:4">
      <c r="A20" s="9" t="s">
        <v>21</v>
      </c>
      <c r="B20" s="18">
        <f>'03_收益 Benefit'!B14</f>
        <v>720</v>
      </c>
      <c r="C20" s="10" t="s">
        <v>17</v>
      </c>
      <c r="D20" s="9"/>
    </row>
    <row r="21" ht="14.25" spans="1:4">
      <c r="A21" s="9" t="s">
        <v>22</v>
      </c>
      <c r="B21" s="18">
        <f>'03_收益 Benefit'!B17</f>
        <v>5196</v>
      </c>
      <c r="C21" s="10" t="s">
        <v>17</v>
      </c>
      <c r="D21" s="9"/>
    </row>
    <row r="23" ht="14.25" spans="1:4">
      <c r="A23" s="8" t="s">
        <v>23</v>
      </c>
      <c r="B23" s="13"/>
      <c r="C23" s="13"/>
      <c r="D23" s="13"/>
    </row>
    <row r="24" ht="14.25" spans="1:1">
      <c r="A24" s="26" t="s">
        <v>24</v>
      </c>
    </row>
    <row r="25" ht="14.25" spans="1:1">
      <c r="A25" s="26" t="s">
        <v>25</v>
      </c>
    </row>
    <row r="26" ht="14.25" spans="1:1">
      <c r="A26" s="26" t="s">
        <v>26</v>
      </c>
    </row>
    <row r="28" ht="14.25" spans="1:4">
      <c r="A28" s="8" t="s">
        <v>27</v>
      </c>
      <c r="B28" s="13"/>
      <c r="C28" s="13"/>
      <c r="D28" s="13"/>
    </row>
    <row r="29" ht="14.25" spans="1:1">
      <c r="A29" s="26" t="s">
        <v>28</v>
      </c>
    </row>
    <row r="30" ht="14.25" spans="1:1">
      <c r="A30" s="26" t="s">
        <v>29</v>
      </c>
    </row>
    <row r="31" ht="14.25" spans="1:1">
      <c r="A31" s="26" t="s">
        <v>30</v>
      </c>
    </row>
    <row r="32" ht="14.25" spans="1:1">
      <c r="A32" s="26" t="s">
        <v>31</v>
      </c>
    </row>
    <row r="34" ht="14.25" spans="1:4">
      <c r="A34" s="8" t="s">
        <v>32</v>
      </c>
      <c r="B34" s="13"/>
      <c r="C34" s="13"/>
      <c r="D34" s="13"/>
    </row>
    <row r="35" ht="14.25" spans="1:1">
      <c r="A35" s="26" t="s">
        <v>33</v>
      </c>
    </row>
    <row r="36" ht="14.25" spans="1:1">
      <c r="A36" s="26" t="s">
        <v>34</v>
      </c>
    </row>
    <row r="37" ht="14.25" spans="1:1">
      <c r="A37" s="26" t="s">
        <v>35</v>
      </c>
    </row>
    <row r="38" ht="14.25" spans="1:1">
      <c r="A38" s="26" t="s">
        <v>36</v>
      </c>
    </row>
  </sheetData>
  <mergeCells count="12">
    <mergeCell ref="A4:D4"/>
    <mergeCell ref="A24:D24"/>
    <mergeCell ref="A25:D25"/>
    <mergeCell ref="A26:D26"/>
    <mergeCell ref="A29:D29"/>
    <mergeCell ref="A30:D30"/>
    <mergeCell ref="A31:D31"/>
    <mergeCell ref="A32:D32"/>
    <mergeCell ref="A35:D35"/>
    <mergeCell ref="A36:D36"/>
    <mergeCell ref="A37:D37"/>
    <mergeCell ref="A38:D3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"/>
  <sheetViews>
    <sheetView topLeftCell="A25" workbookViewId="0">
      <selection activeCell="D71" sqref="D71"/>
    </sheetView>
  </sheetViews>
  <sheetFormatPr defaultColWidth="9" defaultRowHeight="13.5" outlineLevelCol="3"/>
  <cols>
    <col min="1" max="1" width="58" customWidth="1"/>
    <col min="2" max="2" width="18" customWidth="1"/>
    <col min="3" max="3" width="16" customWidth="1"/>
    <col min="4" max="4" width="46" customWidth="1"/>
  </cols>
  <sheetData>
    <row r="1" ht="18" spans="1:1">
      <c r="A1" s="1" t="s">
        <v>37</v>
      </c>
    </row>
    <row r="2" ht="14.25" spans="1:1">
      <c r="A2" s="2" t="s">
        <v>38</v>
      </c>
    </row>
    <row r="4" spans="1:1">
      <c r="A4" s="3" t="s">
        <v>39</v>
      </c>
    </row>
    <row r="6" ht="14.25" spans="1:4">
      <c r="A6" s="8" t="s">
        <v>40</v>
      </c>
      <c r="B6" s="13"/>
      <c r="C6" s="13"/>
      <c r="D6" s="13"/>
    </row>
    <row r="7" ht="14.25" spans="1:4">
      <c r="A7" s="9" t="s">
        <v>41</v>
      </c>
      <c r="B7" s="18">
        <v>20</v>
      </c>
      <c r="C7" s="10" t="s">
        <v>42</v>
      </c>
      <c r="D7" s="9" t="s">
        <v>43</v>
      </c>
    </row>
    <row r="8" ht="28.5" spans="1:4">
      <c r="A8" s="9" t="s">
        <v>44</v>
      </c>
      <c r="B8" s="18">
        <v>240</v>
      </c>
      <c r="C8" s="10" t="s">
        <v>45</v>
      </c>
      <c r="D8" s="9" t="s">
        <v>46</v>
      </c>
    </row>
    <row r="9" ht="28.5" spans="1:4">
      <c r="A9" s="9" t="s">
        <v>47</v>
      </c>
      <c r="B9" s="18">
        <v>1200</v>
      </c>
      <c r="C9" s="10" t="s">
        <v>45</v>
      </c>
      <c r="D9" s="9" t="s">
        <v>43</v>
      </c>
    </row>
    <row r="10" ht="14.25" spans="1:4">
      <c r="A10" s="9" t="s">
        <v>48</v>
      </c>
      <c r="B10" s="18">
        <v>250</v>
      </c>
      <c r="C10" s="10" t="s">
        <v>49</v>
      </c>
      <c r="D10" s="9" t="s">
        <v>50</v>
      </c>
    </row>
    <row r="12" ht="28.5" spans="1:4">
      <c r="A12" s="8" t="s">
        <v>51</v>
      </c>
      <c r="B12" s="13"/>
      <c r="C12" s="13"/>
      <c r="D12" s="13"/>
    </row>
    <row r="13" ht="14.25" spans="1:4">
      <c r="A13" s="9" t="s">
        <v>52</v>
      </c>
      <c r="B13" s="15">
        <v>15000</v>
      </c>
      <c r="C13" s="10" t="s">
        <v>53</v>
      </c>
      <c r="D13" s="9" t="s">
        <v>54</v>
      </c>
    </row>
    <row r="14" ht="14.25" spans="1:4">
      <c r="A14" s="9" t="s">
        <v>55</v>
      </c>
      <c r="B14" s="11">
        <v>1.35</v>
      </c>
      <c r="C14" s="10" t="s">
        <v>56</v>
      </c>
      <c r="D14" s="9" t="s">
        <v>57</v>
      </c>
    </row>
    <row r="15" ht="14.25" spans="1:4">
      <c r="A15" s="9" t="s">
        <v>58</v>
      </c>
      <c r="B15" s="11">
        <v>21.75</v>
      </c>
      <c r="C15" s="10" t="s">
        <v>59</v>
      </c>
      <c r="D15" s="9" t="s">
        <v>60</v>
      </c>
    </row>
    <row r="16" ht="14.25" spans="1:4">
      <c r="A16" s="9" t="s">
        <v>61</v>
      </c>
      <c r="B16" s="18">
        <v>8</v>
      </c>
      <c r="C16" s="10" t="s">
        <v>62</v>
      </c>
      <c r="D16" s="9"/>
    </row>
    <row r="17" ht="14.25" spans="1:4">
      <c r="A17" s="9" t="s">
        <v>63</v>
      </c>
      <c r="B17" s="27">
        <f>'01_假设 Assumptions'!B13*'01_假设 Assumptions'!B14/'01_假设 Assumptions'!B15/'01_假设 Assumptions'!B16</f>
        <v>116.379310344828</v>
      </c>
      <c r="C17" s="10" t="s">
        <v>64</v>
      </c>
      <c r="D17" s="9" t="s">
        <v>65</v>
      </c>
    </row>
    <row r="19" ht="14.25" spans="1:4">
      <c r="A19" s="8" t="s">
        <v>66</v>
      </c>
      <c r="B19" s="13"/>
      <c r="C19" s="13"/>
      <c r="D19" s="13"/>
    </row>
    <row r="20" ht="14.25" spans="1:4">
      <c r="A20" s="9" t="s">
        <v>67</v>
      </c>
      <c r="B20" s="11">
        <v>0.75</v>
      </c>
      <c r="C20" s="10" t="s">
        <v>68</v>
      </c>
      <c r="D20" s="9"/>
    </row>
    <row r="21" ht="14.25" spans="1:4">
      <c r="A21" s="9" t="s">
        <v>69</v>
      </c>
      <c r="B21" s="11">
        <v>0.2</v>
      </c>
      <c r="C21" s="10" t="s">
        <v>68</v>
      </c>
      <c r="D21" s="9"/>
    </row>
    <row r="22" ht="14.25" spans="1:4">
      <c r="A22" s="9" t="s">
        <v>70</v>
      </c>
      <c r="B22" s="11">
        <v>0.35</v>
      </c>
      <c r="C22" s="10" t="s">
        <v>68</v>
      </c>
      <c r="D22" s="9"/>
    </row>
    <row r="23" ht="14.25" spans="1:4">
      <c r="A23" s="9" t="s">
        <v>71</v>
      </c>
      <c r="B23" s="11">
        <v>0.5</v>
      </c>
      <c r="C23" s="10" t="s">
        <v>68</v>
      </c>
      <c r="D23" s="9"/>
    </row>
    <row r="24" ht="14.25" spans="1:4">
      <c r="A24" s="9" t="s">
        <v>72</v>
      </c>
      <c r="B24" s="18">
        <v>5</v>
      </c>
      <c r="C24" s="10" t="s">
        <v>45</v>
      </c>
      <c r="D24" s="9"/>
    </row>
    <row r="25" ht="14.25" spans="1:4">
      <c r="A25" s="9" t="s">
        <v>73</v>
      </c>
      <c r="B25" s="11">
        <v>0.15</v>
      </c>
      <c r="C25" s="10" t="s">
        <v>45</v>
      </c>
      <c r="D25" s="9"/>
    </row>
    <row r="27" ht="14.25" spans="1:4">
      <c r="A27" s="8" t="s">
        <v>74</v>
      </c>
      <c r="B27" s="13"/>
      <c r="C27" s="13"/>
      <c r="D27" s="13"/>
    </row>
    <row r="28" ht="14.25" spans="1:4">
      <c r="A28" s="9" t="s">
        <v>75</v>
      </c>
      <c r="B28" s="7">
        <v>0.6</v>
      </c>
      <c r="C28" s="10" t="s">
        <v>76</v>
      </c>
      <c r="D28" s="9" t="s">
        <v>77</v>
      </c>
    </row>
    <row r="29" ht="14.25" spans="1:4">
      <c r="A29" s="9" t="s">
        <v>78</v>
      </c>
      <c r="B29" s="7">
        <v>0.7</v>
      </c>
      <c r="C29" s="10" t="s">
        <v>76</v>
      </c>
      <c r="D29" s="9" t="s">
        <v>77</v>
      </c>
    </row>
    <row r="30" ht="14.25" spans="1:4">
      <c r="A30" s="9" t="s">
        <v>79</v>
      </c>
      <c r="B30" s="7">
        <v>0.6</v>
      </c>
      <c r="C30" s="10" t="s">
        <v>76</v>
      </c>
      <c r="D30" s="9" t="s">
        <v>77</v>
      </c>
    </row>
    <row r="31" ht="14.25" spans="1:4">
      <c r="A31" s="9" t="s">
        <v>80</v>
      </c>
      <c r="B31" s="7">
        <v>0.4</v>
      </c>
      <c r="C31" s="10" t="s">
        <v>76</v>
      </c>
      <c r="D31" s="9" t="s">
        <v>77</v>
      </c>
    </row>
    <row r="32" ht="14.25" spans="1:4">
      <c r="A32" s="9" t="s">
        <v>81</v>
      </c>
      <c r="B32" s="7">
        <v>0.85</v>
      </c>
      <c r="C32" s="10" t="s">
        <v>76</v>
      </c>
      <c r="D32" s="9" t="s">
        <v>82</v>
      </c>
    </row>
    <row r="34" ht="14.25" spans="1:4">
      <c r="A34" s="8" t="s">
        <v>83</v>
      </c>
      <c r="B34" s="13"/>
      <c r="C34" s="13"/>
      <c r="D34" s="13"/>
    </row>
    <row r="35" ht="14.25" spans="1:4">
      <c r="A35" s="9" t="s">
        <v>84</v>
      </c>
      <c r="B35" s="11">
        <v>0.05</v>
      </c>
      <c r="C35" s="10" t="s">
        <v>68</v>
      </c>
      <c r="D35" s="9" t="s">
        <v>85</v>
      </c>
    </row>
    <row r="36" ht="14.25" spans="1:4">
      <c r="A36" s="9" t="s">
        <v>86</v>
      </c>
      <c r="B36" s="11">
        <v>0.02</v>
      </c>
      <c r="C36" s="10" t="s">
        <v>68</v>
      </c>
      <c r="D36" s="9"/>
    </row>
    <row r="38" ht="28.5" spans="1:4">
      <c r="A38" s="8" t="s">
        <v>87</v>
      </c>
      <c r="B38" s="13"/>
      <c r="C38" s="13"/>
      <c r="D38" s="13"/>
    </row>
    <row r="39" ht="14.25" spans="1:4">
      <c r="A39" s="9" t="s">
        <v>88</v>
      </c>
      <c r="B39" s="15">
        <v>30000</v>
      </c>
      <c r="C39" s="10" t="s">
        <v>8</v>
      </c>
      <c r="D39" s="9" t="s">
        <v>89</v>
      </c>
    </row>
    <row r="40" ht="14.25" spans="1:4">
      <c r="A40" s="9" t="s">
        <v>90</v>
      </c>
      <c r="B40" s="15">
        <v>29000</v>
      </c>
      <c r="C40" s="10" t="s">
        <v>8</v>
      </c>
      <c r="D40" s="9" t="s">
        <v>91</v>
      </c>
    </row>
    <row r="41" ht="14.25" spans="1:4">
      <c r="A41" s="9" t="s">
        <v>92</v>
      </c>
      <c r="B41" s="15">
        <v>25000</v>
      </c>
      <c r="C41" s="10" t="s">
        <v>8</v>
      </c>
      <c r="D41" s="9"/>
    </row>
    <row r="42" ht="14.25" spans="1:4">
      <c r="A42" s="9" t="s">
        <v>93</v>
      </c>
      <c r="B42" s="15">
        <f>'01_假设 Assumptions'!B39*'01_假设 Assumptions'!B14/'01_假设 Assumptions'!B15</f>
        <v>1862.06896551724</v>
      </c>
      <c r="C42" s="10" t="s">
        <v>94</v>
      </c>
      <c r="D42" s="9" t="s">
        <v>95</v>
      </c>
    </row>
    <row r="43" ht="14.25" spans="1:4">
      <c r="A43" s="9" t="s">
        <v>96</v>
      </c>
      <c r="B43" s="15">
        <f>'01_假设 Assumptions'!B40*'01_假设 Assumptions'!B14/'01_假设 Assumptions'!B15</f>
        <v>1800</v>
      </c>
      <c r="C43" s="10" t="s">
        <v>94</v>
      </c>
      <c r="D43" s="9" t="s">
        <v>95</v>
      </c>
    </row>
    <row r="44" ht="14.25" spans="1:4">
      <c r="A44" s="9" t="s">
        <v>97</v>
      </c>
      <c r="B44" s="15">
        <f>'01_假设 Assumptions'!B41*'01_假设 Assumptions'!B14/'01_假设 Assumptions'!B15</f>
        <v>1551.72413793103</v>
      </c>
      <c r="C44" s="10" t="s">
        <v>94</v>
      </c>
      <c r="D44" s="9" t="s">
        <v>95</v>
      </c>
    </row>
    <row r="46" ht="28.5" spans="1:4">
      <c r="A46" s="8" t="s">
        <v>98</v>
      </c>
      <c r="B46" s="13"/>
      <c r="C46" s="13"/>
      <c r="D46" s="13"/>
    </row>
    <row r="47" ht="14.25" spans="1:4">
      <c r="A47" s="9" t="s">
        <v>99</v>
      </c>
      <c r="B47" s="15">
        <f>6*'01_假设 Assumptions'!B42</f>
        <v>11172.4137931034</v>
      </c>
      <c r="C47" s="10" t="s">
        <v>100</v>
      </c>
      <c r="D47" s="9" t="s">
        <v>101</v>
      </c>
    </row>
    <row r="48" ht="14.25" spans="1:4">
      <c r="A48" s="9" t="s">
        <v>102</v>
      </c>
      <c r="B48" s="15">
        <f>30*'01_假设 Assumptions'!B43</f>
        <v>54000</v>
      </c>
      <c r="C48" s="10" t="s">
        <v>100</v>
      </c>
      <c r="D48" s="9" t="s">
        <v>103</v>
      </c>
    </row>
    <row r="49" ht="14.25" spans="1:4">
      <c r="A49" s="9" t="s">
        <v>104</v>
      </c>
      <c r="B49" s="15">
        <f>8*'01_假设 Assumptions'!B44</f>
        <v>12413.7931034483</v>
      </c>
      <c r="C49" s="10" t="s">
        <v>100</v>
      </c>
      <c r="D49" s="9" t="s">
        <v>105</v>
      </c>
    </row>
    <row r="50" ht="14.25" spans="1:4">
      <c r="A50" s="9" t="s">
        <v>106</v>
      </c>
      <c r="B50" s="15">
        <f>5*2*8*'01_假设 Assumptions'!B17+3*'01_假设 Assumptions'!B42</f>
        <v>14896.5517241379</v>
      </c>
      <c r="C50" s="10" t="s">
        <v>100</v>
      </c>
      <c r="D50" s="9" t="s">
        <v>107</v>
      </c>
    </row>
    <row r="51" ht="14.25" spans="1:4">
      <c r="A51" s="9" t="s">
        <v>108</v>
      </c>
      <c r="B51" s="15">
        <f>20*0.5*8*'01_假设 Assumptions'!B17</f>
        <v>9310.34482758621</v>
      </c>
      <c r="C51" s="10" t="s">
        <v>100</v>
      </c>
      <c r="D51" s="9" t="s">
        <v>109</v>
      </c>
    </row>
    <row r="52" ht="14.25" spans="1:4">
      <c r="A52" s="9" t="s">
        <v>110</v>
      </c>
      <c r="B52" s="15">
        <f>SUM(B47:B51)*0.1</f>
        <v>10179.3103448276</v>
      </c>
      <c r="C52" s="10" t="s">
        <v>100</v>
      </c>
      <c r="D52" s="9" t="s">
        <v>111</v>
      </c>
    </row>
    <row r="53" ht="14.25" spans="1:4">
      <c r="A53" s="9" t="s">
        <v>112</v>
      </c>
      <c r="B53" s="15">
        <f>SUM(B47:B52)</f>
        <v>111972.413793103</v>
      </c>
      <c r="C53" s="10" t="s">
        <v>100</v>
      </c>
      <c r="D53" s="9"/>
    </row>
    <row r="55" ht="14.25" spans="1:4">
      <c r="A55" s="8" t="s">
        <v>113</v>
      </c>
      <c r="B55" s="13"/>
      <c r="C55" s="13"/>
      <c r="D55" s="13"/>
    </row>
    <row r="56" ht="14.25" spans="1:4">
      <c r="A56" s="9" t="s">
        <v>114</v>
      </c>
      <c r="B56" s="15">
        <f>20*50*12</f>
        <v>12000</v>
      </c>
      <c r="C56" s="10" t="s">
        <v>115</v>
      </c>
      <c r="D56" s="9" t="s">
        <v>116</v>
      </c>
    </row>
    <row r="57" ht="14.25" spans="1:4">
      <c r="A57" s="9" t="s">
        <v>117</v>
      </c>
      <c r="B57" s="15">
        <f>500*12</f>
        <v>6000</v>
      </c>
      <c r="C57" s="10" t="s">
        <v>115</v>
      </c>
      <c r="D57" s="9" t="s">
        <v>118</v>
      </c>
    </row>
    <row r="58" ht="28.5" spans="1:4">
      <c r="A58" s="9" t="s">
        <v>119</v>
      </c>
      <c r="B58" s="15">
        <f>0.1*25000*1.35*12</f>
        <v>40500</v>
      </c>
      <c r="C58" s="10" t="s">
        <v>115</v>
      </c>
      <c r="D58" s="9" t="s">
        <v>120</v>
      </c>
    </row>
    <row r="59" ht="14.25" spans="1:4">
      <c r="A59" s="9" t="s">
        <v>121</v>
      </c>
      <c r="B59" s="15">
        <f>SUM(B56:B58)</f>
        <v>58500</v>
      </c>
      <c r="C59" s="10" t="s">
        <v>115</v>
      </c>
      <c r="D59" s="9"/>
    </row>
    <row r="61" ht="14.25" spans="1:4">
      <c r="A61" s="8" t="s">
        <v>122</v>
      </c>
      <c r="B61" s="13"/>
      <c r="C61" s="13"/>
      <c r="D61" s="13"/>
    </row>
    <row r="62" ht="14.25" spans="1:4">
      <c r="A62" s="14" t="s">
        <v>123</v>
      </c>
      <c r="B62" s="25" t="s">
        <v>124</v>
      </c>
      <c r="C62" s="25" t="s">
        <v>125</v>
      </c>
      <c r="D62" s="25" t="s">
        <v>126</v>
      </c>
    </row>
    <row r="63" ht="14.25" spans="1:4">
      <c r="A63" s="9" t="s">
        <v>127</v>
      </c>
      <c r="B63" s="11">
        <v>0.75</v>
      </c>
      <c r="C63" s="7">
        <v>0.7</v>
      </c>
      <c r="D63" s="18">
        <v>5</v>
      </c>
    </row>
    <row r="64" ht="14.25" spans="1:4">
      <c r="A64" s="9" t="s">
        <v>128</v>
      </c>
      <c r="B64" s="11">
        <v>1</v>
      </c>
      <c r="C64" s="7">
        <v>0.85</v>
      </c>
      <c r="D64" s="18">
        <v>4</v>
      </c>
    </row>
    <row r="65" ht="14.25" spans="1:4">
      <c r="A65" s="9" t="s">
        <v>129</v>
      </c>
      <c r="B65" s="11">
        <v>1.2</v>
      </c>
      <c r="C65" s="7">
        <v>0.95</v>
      </c>
      <c r="D65" s="18">
        <v>3</v>
      </c>
    </row>
  </sheetData>
  <mergeCells count="1">
    <mergeCell ref="A4:D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selection activeCell="C44" sqref="C44"/>
    </sheetView>
  </sheetViews>
  <sheetFormatPr defaultColWidth="9" defaultRowHeight="13.5" outlineLevelCol="3"/>
  <cols>
    <col min="1" max="1" width="58" customWidth="1"/>
    <col min="2" max="2" width="18" customWidth="1"/>
    <col min="3" max="3" width="16" customWidth="1"/>
    <col min="4" max="4" width="46" customWidth="1"/>
  </cols>
  <sheetData>
    <row r="1" ht="18" spans="1:1">
      <c r="A1" s="1" t="s">
        <v>130</v>
      </c>
    </row>
    <row r="2" ht="14.25" spans="1:1">
      <c r="A2" s="2" t="s">
        <v>131</v>
      </c>
    </row>
    <row r="4" ht="14.25" spans="1:4">
      <c r="A4" s="8" t="s">
        <v>132</v>
      </c>
      <c r="B4" s="13"/>
      <c r="C4" s="13"/>
      <c r="D4" s="13"/>
    </row>
    <row r="5" ht="14.25" spans="1:4">
      <c r="A5" s="9" t="s">
        <v>133</v>
      </c>
      <c r="B5" s="18">
        <f>'01_假设 Assumptions'!B8*'01_假设 Assumptions'!B7</f>
        <v>4800</v>
      </c>
      <c r="C5" s="10" t="s">
        <v>134</v>
      </c>
      <c r="D5" s="9"/>
    </row>
    <row r="6" ht="14.25" spans="1:4">
      <c r="A6" s="9" t="s">
        <v>135</v>
      </c>
      <c r="B6" s="18">
        <f>'02_基线 Baseline'!B5*'01_假设 Assumptions'!B24</f>
        <v>24000</v>
      </c>
      <c r="C6" s="10" t="s">
        <v>134</v>
      </c>
      <c r="D6" s="9"/>
    </row>
    <row r="7" ht="14.25" spans="1:4">
      <c r="A7" s="9" t="s">
        <v>136</v>
      </c>
      <c r="B7" s="18">
        <f>'01_假设 Assumptions'!B9</f>
        <v>1200</v>
      </c>
      <c r="C7" s="10" t="s">
        <v>134</v>
      </c>
      <c r="D7" s="9"/>
    </row>
    <row r="8" ht="14.25" spans="1:4">
      <c r="A8" s="9" t="s">
        <v>137</v>
      </c>
      <c r="B8" s="18">
        <f>'02_基线 Baseline'!B5*'01_假设 Assumptions'!B25</f>
        <v>720</v>
      </c>
      <c r="C8" s="10" t="s">
        <v>134</v>
      </c>
      <c r="D8" s="9"/>
    </row>
    <row r="10" ht="14.25" spans="1:4">
      <c r="A10" s="8" t="s">
        <v>138</v>
      </c>
      <c r="B10" s="13"/>
      <c r="C10" s="13"/>
      <c r="D10" s="13"/>
    </row>
    <row r="11" ht="14.25" spans="1:4">
      <c r="A11" s="9" t="s">
        <v>139</v>
      </c>
      <c r="B11" s="18">
        <f>'02_基线 Baseline'!B5*'01_假设 Assumptions'!B20</f>
        <v>3600</v>
      </c>
      <c r="C11" s="10" t="s">
        <v>17</v>
      </c>
      <c r="D11" s="9"/>
    </row>
    <row r="12" ht="14.25" spans="1:4">
      <c r="A12" s="9" t="s">
        <v>140</v>
      </c>
      <c r="B12" s="18">
        <f>'02_基线 Baseline'!B6*'01_假设 Assumptions'!B21</f>
        <v>4800</v>
      </c>
      <c r="C12" s="10" t="s">
        <v>17</v>
      </c>
      <c r="D12" s="9"/>
    </row>
    <row r="13" ht="14.25" spans="1:4">
      <c r="A13" s="9" t="s">
        <v>141</v>
      </c>
      <c r="B13" s="18">
        <f>'02_基线 Baseline'!B7*'01_假设 Assumptions'!B22</f>
        <v>420</v>
      </c>
      <c r="C13" s="10" t="s">
        <v>17</v>
      </c>
      <c r="D13" s="9"/>
    </row>
    <row r="14" ht="14.25" spans="1:4">
      <c r="A14" s="9" t="s">
        <v>142</v>
      </c>
      <c r="B14" s="18">
        <f>'02_基线 Baseline'!B8*'01_假设 Assumptions'!B23</f>
        <v>360</v>
      </c>
      <c r="C14" s="10" t="s">
        <v>17</v>
      </c>
      <c r="D14" s="9"/>
    </row>
    <row r="15" ht="14.25" spans="1:4">
      <c r="A15" s="9" t="s">
        <v>143</v>
      </c>
      <c r="B15" s="18">
        <f>SUM(B11:B14)</f>
        <v>9180</v>
      </c>
      <c r="C15" s="10" t="s">
        <v>17</v>
      </c>
      <c r="D15" s="9"/>
    </row>
    <row r="16" ht="14.25" spans="1:4">
      <c r="A16" s="9" t="s">
        <v>144</v>
      </c>
      <c r="B16" s="15">
        <f>'02_基线 Baseline'!B15*'01_假设 Assumptions'!B17</f>
        <v>1068362.06896552</v>
      </c>
      <c r="C16" s="10" t="s">
        <v>6</v>
      </c>
      <c r="D16" s="9"/>
    </row>
    <row r="18" ht="14.25" spans="1:4">
      <c r="A18" s="8" t="s">
        <v>145</v>
      </c>
      <c r="B18" s="13"/>
      <c r="C18" s="13"/>
      <c r="D18" s="13"/>
    </row>
    <row r="19" ht="14.25" spans="1:4">
      <c r="A19" s="9" t="s">
        <v>146</v>
      </c>
      <c r="B19" s="11">
        <f>'02_基线 Baseline'!B15/'01_假设 Assumptions'!B7/'01_假设 Assumptions'!B10</f>
        <v>1.836</v>
      </c>
      <c r="C19" s="10" t="s">
        <v>147</v>
      </c>
      <c r="D19" s="9" t="s">
        <v>148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workbookViewId="0">
      <selection activeCell="M12" sqref="M12"/>
    </sheetView>
  </sheetViews>
  <sheetFormatPr defaultColWidth="9" defaultRowHeight="13.5" outlineLevelCol="3"/>
  <cols>
    <col min="1" max="1" width="58" customWidth="1"/>
    <col min="2" max="2" width="18" customWidth="1"/>
    <col min="3" max="3" width="16" customWidth="1"/>
    <col min="4" max="4" width="46" customWidth="1"/>
  </cols>
  <sheetData>
    <row r="1" ht="18" spans="1:1">
      <c r="A1" s="1" t="s">
        <v>149</v>
      </c>
    </row>
    <row r="2" ht="14.25" spans="1:1">
      <c r="A2" s="2" t="s">
        <v>150</v>
      </c>
    </row>
    <row r="4" ht="14.25" spans="1:4">
      <c r="A4" s="8" t="s">
        <v>151</v>
      </c>
      <c r="B4" s="13"/>
      <c r="C4" s="13"/>
      <c r="D4" s="13"/>
    </row>
    <row r="5" ht="14.25" spans="1:4">
      <c r="A5" s="9" t="s">
        <v>152</v>
      </c>
      <c r="B5" s="18">
        <f>'02_基线 Baseline'!B11*'01_假设 Assumptions'!B28</f>
        <v>2160</v>
      </c>
      <c r="C5" s="10" t="s">
        <v>17</v>
      </c>
      <c r="D5" s="9"/>
    </row>
    <row r="6" ht="14.25" spans="1:4">
      <c r="A6" s="9" t="s">
        <v>153</v>
      </c>
      <c r="B6" s="18">
        <f>'02_基线 Baseline'!B12*'01_假设 Assumptions'!B29</f>
        <v>3360</v>
      </c>
      <c r="C6" s="10" t="s">
        <v>17</v>
      </c>
      <c r="D6" s="9"/>
    </row>
    <row r="7" ht="14.25" spans="1:4">
      <c r="A7" s="9" t="s">
        <v>154</v>
      </c>
      <c r="B7" s="18">
        <f>'02_基线 Baseline'!B13*'01_假设 Assumptions'!B30</f>
        <v>252</v>
      </c>
      <c r="C7" s="10" t="s">
        <v>17</v>
      </c>
      <c r="D7" s="9"/>
    </row>
    <row r="8" ht="14.25" spans="1:4">
      <c r="A8" s="9" t="s">
        <v>155</v>
      </c>
      <c r="B8" s="18">
        <f>'02_基线 Baseline'!B14*'01_假设 Assumptions'!B31</f>
        <v>144</v>
      </c>
      <c r="C8" s="10" t="s">
        <v>17</v>
      </c>
      <c r="D8" s="9"/>
    </row>
    <row r="9" ht="14.25" spans="1:4">
      <c r="A9" s="9" t="s">
        <v>156</v>
      </c>
      <c r="B9" s="18">
        <f>SUM(B5:B8)</f>
        <v>5916</v>
      </c>
      <c r="C9" s="10" t="s">
        <v>17</v>
      </c>
      <c r="D9" s="9"/>
    </row>
    <row r="11" ht="14.25" spans="1:4">
      <c r="A11" s="8" t="s">
        <v>157</v>
      </c>
      <c r="B11" s="13"/>
      <c r="C11" s="13"/>
      <c r="D11" s="13"/>
    </row>
    <row r="12" ht="14.25" spans="1:4">
      <c r="A12" s="9" t="s">
        <v>158</v>
      </c>
      <c r="B12" s="18">
        <f>'02_基线 Baseline'!B5*'01_假设 Assumptions'!B35</f>
        <v>240</v>
      </c>
      <c r="C12" s="10" t="s">
        <v>17</v>
      </c>
      <c r="D12" s="9"/>
    </row>
    <row r="13" ht="14.25" spans="1:4">
      <c r="A13" s="9" t="s">
        <v>159</v>
      </c>
      <c r="B13" s="18">
        <f>'02_基线 Baseline'!B6*'01_假设 Assumptions'!B36</f>
        <v>480</v>
      </c>
      <c r="C13" s="10" t="s">
        <v>17</v>
      </c>
      <c r="D13" s="9"/>
    </row>
    <row r="14" ht="14.25" spans="1:4">
      <c r="A14" s="9" t="s">
        <v>160</v>
      </c>
      <c r="B14" s="18">
        <f>SUM(B12:B13)</f>
        <v>720</v>
      </c>
      <c r="C14" s="10" t="s">
        <v>17</v>
      </c>
      <c r="D14" s="9"/>
    </row>
    <row r="16" ht="14.25" spans="1:4">
      <c r="A16" s="8" t="s">
        <v>161</v>
      </c>
      <c r="B16" s="13"/>
      <c r="C16" s="13"/>
      <c r="D16" s="13"/>
    </row>
    <row r="17" ht="14.25" spans="1:4">
      <c r="A17" s="9" t="s">
        <v>162</v>
      </c>
      <c r="B17" s="18">
        <f>'03_收益 Benefit'!B9-'03_收益 Benefit'!B14</f>
        <v>5196</v>
      </c>
      <c r="C17" s="10" t="s">
        <v>17</v>
      </c>
      <c r="D17" s="9"/>
    </row>
    <row r="18" ht="28.5" spans="1:4">
      <c r="A18" s="9" t="s">
        <v>163</v>
      </c>
      <c r="B18" s="15">
        <f>'03_收益 Benefit'!B17*'01_假设 Assumptions'!B17</f>
        <v>604706.896551724</v>
      </c>
      <c r="C18" s="10" t="s">
        <v>6</v>
      </c>
      <c r="D18" s="9"/>
    </row>
    <row r="19" ht="14.25" spans="1:4">
      <c r="A19" s="9" t="s">
        <v>164</v>
      </c>
      <c r="B19" s="15">
        <f>'03_收益 Benefit'!B18*'01_假设 Assumptions'!B32</f>
        <v>514000.862068966</v>
      </c>
      <c r="C19" s="10" t="s">
        <v>6</v>
      </c>
      <c r="D19" s="9" t="s">
        <v>165</v>
      </c>
    </row>
    <row r="20" ht="14.25" spans="1:4">
      <c r="A20" s="9" t="s">
        <v>166</v>
      </c>
      <c r="B20" s="15">
        <f>-'01_假设 Assumptions'!B59</f>
        <v>-58500</v>
      </c>
      <c r="C20" s="10" t="s">
        <v>6</v>
      </c>
      <c r="D20" s="9"/>
    </row>
    <row r="21" ht="14.25" spans="1:4">
      <c r="A21" s="9" t="s">
        <v>5</v>
      </c>
      <c r="B21" s="15">
        <f>'03_收益 Benefit'!B19+'03_收益 Benefit'!B20</f>
        <v>455500.862068966</v>
      </c>
      <c r="C21" s="10" t="s">
        <v>6</v>
      </c>
      <c r="D21" s="9"/>
    </row>
    <row r="23" ht="28.5" spans="1:4">
      <c r="A23" s="8" t="s">
        <v>167</v>
      </c>
      <c r="B23" s="13"/>
      <c r="C23" s="13"/>
      <c r="D23" s="13"/>
    </row>
    <row r="24" ht="14.25" spans="1:1">
      <c r="A24" s="26" t="s">
        <v>168</v>
      </c>
    </row>
    <row r="25" ht="14.25" spans="1:1">
      <c r="A25" s="26" t="s">
        <v>169</v>
      </c>
    </row>
    <row r="26" ht="14.25" spans="1:1">
      <c r="A26" s="26" t="s">
        <v>170</v>
      </c>
    </row>
  </sheetData>
  <mergeCells count="3">
    <mergeCell ref="A24:D24"/>
    <mergeCell ref="A25:D25"/>
    <mergeCell ref="A26:D2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D39" sqref="D39"/>
    </sheetView>
  </sheetViews>
  <sheetFormatPr defaultColWidth="9" defaultRowHeight="13.5" outlineLevelCol="4"/>
  <cols>
    <col min="1" max="1" width="58" customWidth="1"/>
    <col min="2" max="2" width="18" customWidth="1"/>
    <col min="3" max="3" width="16" customWidth="1"/>
    <col min="4" max="4" width="46" customWidth="1"/>
  </cols>
  <sheetData>
    <row r="1" ht="18" spans="1:1">
      <c r="A1" s="1" t="s">
        <v>171</v>
      </c>
    </row>
    <row r="2" ht="14.25" spans="1:1">
      <c r="A2" s="2" t="s">
        <v>172</v>
      </c>
    </row>
    <row r="4" ht="14.25" spans="1:4">
      <c r="A4" s="8" t="s">
        <v>173</v>
      </c>
      <c r="B4" s="13"/>
      <c r="C4" s="13"/>
      <c r="D4" s="13"/>
    </row>
    <row r="5" ht="14.25" spans="1:4">
      <c r="A5" s="9" t="s">
        <v>3</v>
      </c>
      <c r="B5" s="15">
        <f>'01_假设 Assumptions'!B53</f>
        <v>111972.413793103</v>
      </c>
      <c r="C5" s="10" t="s">
        <v>4</v>
      </c>
      <c r="D5" s="9"/>
    </row>
    <row r="6" ht="14.25" spans="1:4">
      <c r="A6" s="9" t="s">
        <v>5</v>
      </c>
      <c r="B6" s="15">
        <f>'03_收益 Benefit'!B21</f>
        <v>455500.862068966</v>
      </c>
      <c r="C6" s="10" t="s">
        <v>6</v>
      </c>
      <c r="D6" s="9"/>
    </row>
    <row r="7" ht="14.25" spans="1:4">
      <c r="A7" s="9" t="s">
        <v>7</v>
      </c>
      <c r="B7" s="15">
        <f>'04_ROI 回报'!B6/12</f>
        <v>37958.4051724138</v>
      </c>
      <c r="C7" s="10" t="s">
        <v>8</v>
      </c>
      <c r="D7" s="9"/>
    </row>
    <row r="8" ht="28.5" spans="1:4">
      <c r="A8" s="9" t="s">
        <v>174</v>
      </c>
      <c r="B8" s="11">
        <f>'04_ROI 回报'!B5/'04_ROI 回报'!B7</f>
        <v>2.94987139961505</v>
      </c>
      <c r="C8" s="10" t="s">
        <v>10</v>
      </c>
      <c r="D8" s="9" t="s">
        <v>175</v>
      </c>
    </row>
    <row r="9" ht="28.5" spans="1:4">
      <c r="A9" s="9" t="s">
        <v>176</v>
      </c>
      <c r="B9" s="18">
        <f>'05_月现金流 Ramp'!B35</f>
        <v>5</v>
      </c>
      <c r="C9" s="10" t="s">
        <v>10</v>
      </c>
      <c r="D9" s="9" t="s">
        <v>177</v>
      </c>
    </row>
    <row r="10" ht="14.25" spans="1:4">
      <c r="A10" s="9" t="s">
        <v>11</v>
      </c>
      <c r="B10" s="11">
        <f>'04_ROI 回报'!B6/'04_ROI 回报'!B5</f>
        <v>4.06797394678492</v>
      </c>
      <c r="C10" s="10" t="s">
        <v>12</v>
      </c>
      <c r="D10" s="9"/>
    </row>
    <row r="11" ht="14.25" spans="1:4">
      <c r="A11" s="9" t="s">
        <v>178</v>
      </c>
      <c r="B11" s="7">
        <f>('04_ROI 回报'!B6-'04_ROI 回报'!B5)/'04_ROI 回报'!B5</f>
        <v>3.06797394678492</v>
      </c>
      <c r="C11" s="10" t="s">
        <v>76</v>
      </c>
      <c r="D11" s="9" t="s">
        <v>179</v>
      </c>
    </row>
    <row r="13" ht="14.25" spans="1:4">
      <c r="A13" s="8" t="s">
        <v>180</v>
      </c>
      <c r="B13" s="13"/>
      <c r="C13" s="13"/>
      <c r="D13" s="13"/>
    </row>
    <row r="14" ht="14.25" spans="1:5">
      <c r="A14" s="14" t="s">
        <v>181</v>
      </c>
      <c r="B14" s="25" t="s">
        <v>182</v>
      </c>
      <c r="C14" s="25" t="s">
        <v>183</v>
      </c>
      <c r="D14" s="25" t="s">
        <v>184</v>
      </c>
      <c r="E14" s="25" t="s">
        <v>185</v>
      </c>
    </row>
    <row r="15" ht="14.25" spans="1:5">
      <c r="A15" s="9" t="s">
        <v>186</v>
      </c>
      <c r="B15" s="15">
        <f>-'04_ROI 回报'!B5</f>
        <v>-111972.413793103</v>
      </c>
      <c r="C15" s="15">
        <f>'04_ROI 回报'!B6</f>
        <v>455500.862068966</v>
      </c>
      <c r="D15" s="15">
        <f>'04_ROI 回报'!B6</f>
        <v>455500.862068966</v>
      </c>
      <c r="E15" s="15">
        <f>'04_ROI 回报'!B6</f>
        <v>455500.862068966</v>
      </c>
    </row>
    <row r="16" ht="14.25" spans="1:2">
      <c r="A16" s="9" t="s">
        <v>187</v>
      </c>
      <c r="B16" s="15">
        <f>SUM(C15:E15)</f>
        <v>1366502.5862069</v>
      </c>
    </row>
    <row r="17" ht="14.25" spans="1:2">
      <c r="A17" s="9" t="s">
        <v>188</v>
      </c>
      <c r="B17" s="7">
        <f>B16/'04_ROI 回报'!B5</f>
        <v>12.2039218403548</v>
      </c>
    </row>
    <row r="18" ht="14.25" spans="1:2">
      <c r="A18" s="9" t="s">
        <v>189</v>
      </c>
      <c r="B18" s="15">
        <f>NPV(0.1,C15:E15)-'04_ROI 回报'!B5</f>
        <v>1020790.81193813</v>
      </c>
    </row>
    <row r="19" ht="14.25" spans="1:2">
      <c r="A19" s="9" t="s">
        <v>190</v>
      </c>
      <c r="B19" s="7">
        <f>IRR(B15:E15)</f>
        <v>4.03612547957587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opLeftCell="A11" workbookViewId="0">
      <selection activeCell="A1" sqref="A1"/>
    </sheetView>
  </sheetViews>
  <sheetFormatPr defaultColWidth="9" defaultRowHeight="13.5" outlineLevelCol="3"/>
  <cols>
    <col min="1" max="1" width="30" customWidth="1"/>
    <col min="2" max="2" width="20" customWidth="1"/>
    <col min="3" max="3" width="22" customWidth="1"/>
    <col min="4" max="4" width="30" customWidth="1"/>
  </cols>
  <sheetData>
    <row r="1" ht="18" spans="1:1">
      <c r="A1" s="1" t="s">
        <v>191</v>
      </c>
    </row>
    <row r="2" ht="14.25" spans="1:1">
      <c r="A2" s="2" t="s">
        <v>192</v>
      </c>
    </row>
    <row r="4" spans="1:1">
      <c r="A4" s="3" t="s">
        <v>193</v>
      </c>
    </row>
    <row r="5" ht="28.5" spans="1:4">
      <c r="A5" s="19" t="s">
        <v>127</v>
      </c>
      <c r="B5" s="20" t="s">
        <v>194</v>
      </c>
      <c r="C5" s="21">
        <f>'06_情景 Scenario'!E6</f>
        <v>244307.327586207</v>
      </c>
      <c r="D5" s="20" t="s">
        <v>126</v>
      </c>
    </row>
    <row r="6" ht="28.5" spans="1:4">
      <c r="A6" s="22" t="s">
        <v>195</v>
      </c>
      <c r="B6" s="22" t="s">
        <v>196</v>
      </c>
      <c r="C6" s="22" t="s">
        <v>197</v>
      </c>
      <c r="D6" s="22" t="s">
        <v>198</v>
      </c>
    </row>
    <row r="7" ht="14.25" spans="1:4">
      <c r="A7" s="5">
        <v>1</v>
      </c>
      <c r="B7" s="15">
        <f>$C5/12*MIN(1,A7/'01_假设 Assumptions'!D63)</f>
        <v>4071.78879310345</v>
      </c>
      <c r="C7" s="15">
        <f>B7</f>
        <v>4071.78879310345</v>
      </c>
      <c r="D7" s="10" t="str">
        <f>IF(C7&gt;='01_假设 Assumptions'!B53,"已回本","")</f>
        <v/>
      </c>
    </row>
    <row r="8" ht="14.25" spans="1:4">
      <c r="A8" s="5">
        <v>2</v>
      </c>
      <c r="B8" s="15">
        <f>$C5/12*MIN(1,A8/'01_假设 Assumptions'!D63)</f>
        <v>8143.57758620689</v>
      </c>
      <c r="C8" s="15">
        <f t="shared" ref="C8:C18" si="0">C7+B8</f>
        <v>12215.3663793103</v>
      </c>
      <c r="D8" s="10" t="str">
        <f>IF(C8&gt;='01_假设 Assumptions'!B53,"已回本","")</f>
        <v/>
      </c>
    </row>
    <row r="9" ht="14.25" spans="1:4">
      <c r="A9" s="5">
        <v>3</v>
      </c>
      <c r="B9" s="15">
        <f>$C5/12*MIN(1,A9/'01_假设 Assumptions'!D63)</f>
        <v>12215.3663793103</v>
      </c>
      <c r="C9" s="15">
        <f t="shared" si="0"/>
        <v>24430.7327586207</v>
      </c>
      <c r="D9" s="10" t="str">
        <f>IF(C9&gt;='01_假设 Assumptions'!B53,"已回本","")</f>
        <v/>
      </c>
    </row>
    <row r="10" ht="14.25" spans="1:4">
      <c r="A10" s="5">
        <v>4</v>
      </c>
      <c r="B10" s="15">
        <f>$C5/12*MIN(1,A10/'01_假设 Assumptions'!D63)</f>
        <v>16287.1551724138</v>
      </c>
      <c r="C10" s="15">
        <f t="shared" si="0"/>
        <v>40717.8879310345</v>
      </c>
      <c r="D10" s="10" t="str">
        <f>IF(C10&gt;='01_假设 Assumptions'!B53,"已回本","")</f>
        <v/>
      </c>
    </row>
    <row r="11" ht="14.25" spans="1:4">
      <c r="A11" s="5">
        <v>5</v>
      </c>
      <c r="B11" s="15">
        <f>$C5/12*MIN(1,A11/'01_假设 Assumptions'!D63)</f>
        <v>20358.9439655172</v>
      </c>
      <c r="C11" s="15">
        <f t="shared" si="0"/>
        <v>61076.8318965517</v>
      </c>
      <c r="D11" s="10" t="str">
        <f>IF(C11&gt;='01_假设 Assumptions'!B53,"已回本","")</f>
        <v/>
      </c>
    </row>
    <row r="12" ht="14.25" spans="1:4">
      <c r="A12" s="5">
        <v>6</v>
      </c>
      <c r="B12" s="15">
        <f>$C5/12*MIN(1,A12/'01_假设 Assumptions'!D63)</f>
        <v>20358.9439655172</v>
      </c>
      <c r="C12" s="15">
        <f t="shared" si="0"/>
        <v>81435.7758620689</v>
      </c>
      <c r="D12" s="10" t="str">
        <f>IF(C12&gt;='01_假设 Assumptions'!B53,"已回本","")</f>
        <v/>
      </c>
    </row>
    <row r="13" ht="14.25" spans="1:4">
      <c r="A13" s="5">
        <v>7</v>
      </c>
      <c r="B13" s="15">
        <f>$C5/12*MIN(1,A13/'01_假设 Assumptions'!D63)</f>
        <v>20358.9439655172</v>
      </c>
      <c r="C13" s="15">
        <f t="shared" si="0"/>
        <v>101794.719827586</v>
      </c>
      <c r="D13" s="10" t="str">
        <f>IF(C13&gt;='01_假设 Assumptions'!B53,"已回本","")</f>
        <v/>
      </c>
    </row>
    <row r="14" ht="14.25" spans="1:4">
      <c r="A14" s="5">
        <v>8</v>
      </c>
      <c r="B14" s="15">
        <f>$C5/12*MIN(1,A14/'01_假设 Assumptions'!D63)</f>
        <v>20358.9439655172</v>
      </c>
      <c r="C14" s="15">
        <f t="shared" si="0"/>
        <v>122153.663793103</v>
      </c>
      <c r="D14" s="10" t="str">
        <f>IF(C14&gt;='01_假设 Assumptions'!B53,"已回本","")</f>
        <v>已回本</v>
      </c>
    </row>
    <row r="15" ht="14.25" spans="1:4">
      <c r="A15" s="5">
        <v>9</v>
      </c>
      <c r="B15" s="15">
        <f>$C5/12*MIN(1,A15/'01_假设 Assumptions'!D63)</f>
        <v>20358.9439655172</v>
      </c>
      <c r="C15" s="15">
        <f t="shared" si="0"/>
        <v>142512.607758621</v>
      </c>
      <c r="D15" s="10" t="str">
        <f>IF(C15&gt;='01_假设 Assumptions'!B53,"已回本","")</f>
        <v>已回本</v>
      </c>
    </row>
    <row r="16" ht="14.25" spans="1:4">
      <c r="A16" s="5">
        <v>10</v>
      </c>
      <c r="B16" s="15">
        <f>$C5/12*MIN(1,A16/'01_假设 Assumptions'!D63)</f>
        <v>20358.9439655172</v>
      </c>
      <c r="C16" s="15">
        <f t="shared" si="0"/>
        <v>162871.551724138</v>
      </c>
      <c r="D16" s="10" t="str">
        <f>IF(C16&gt;='01_假设 Assumptions'!B53,"已回本","")</f>
        <v>已回本</v>
      </c>
    </row>
    <row r="17" ht="14.25" spans="1:4">
      <c r="A17" s="5">
        <v>11</v>
      </c>
      <c r="B17" s="15">
        <f>$C5/12*MIN(1,A17/'01_假设 Assumptions'!D63)</f>
        <v>20358.9439655172</v>
      </c>
      <c r="C17" s="15">
        <f t="shared" si="0"/>
        <v>183230.495689655</v>
      </c>
      <c r="D17" s="10" t="str">
        <f>IF(C17&gt;='01_假设 Assumptions'!B53,"已回本","")</f>
        <v>已回本</v>
      </c>
    </row>
    <row r="18" ht="14.25" spans="1:4">
      <c r="A18" s="5">
        <v>12</v>
      </c>
      <c r="B18" s="15">
        <f>$C5/12*MIN(1,A18/'01_假设 Assumptions'!D63)</f>
        <v>20358.9439655172</v>
      </c>
      <c r="C18" s="15">
        <f t="shared" si="0"/>
        <v>203589.439655172</v>
      </c>
      <c r="D18" s="10" t="str">
        <f>IF(C18&gt;='01_假设 Assumptions'!B53,"已回本","")</f>
        <v>已回本</v>
      </c>
    </row>
    <row r="19" ht="14.25" spans="1:4">
      <c r="A19" s="14" t="s">
        <v>199</v>
      </c>
      <c r="B19" s="23">
        <f>IF(COUNTIF(C7:C18,"&lt;"&amp;'01_假设 Assumptions'!B53)=12,"&gt;12",COUNTIF(C7:C18,"&lt;"&amp;'01_假设 Assumptions'!B53)+1)</f>
        <v>8</v>
      </c>
      <c r="C19" s="24"/>
      <c r="D19" s="24"/>
    </row>
    <row r="21" ht="28.5" spans="1:4">
      <c r="A21" s="19" t="s">
        <v>128</v>
      </c>
      <c r="B21" s="20" t="s">
        <v>194</v>
      </c>
      <c r="C21" s="21">
        <f>'06_情景 Scenario'!E7</f>
        <v>455500.862068966</v>
      </c>
      <c r="D21" s="20" t="s">
        <v>126</v>
      </c>
    </row>
    <row r="22" ht="28.5" spans="1:4">
      <c r="A22" s="22" t="s">
        <v>195</v>
      </c>
      <c r="B22" s="22" t="s">
        <v>196</v>
      </c>
      <c r="C22" s="22" t="s">
        <v>197</v>
      </c>
      <c r="D22" s="22" t="s">
        <v>198</v>
      </c>
    </row>
    <row r="23" ht="14.25" spans="1:4">
      <c r="A23" s="5">
        <v>1</v>
      </c>
      <c r="B23" s="15">
        <f>$C21/12*MIN(1,A23/'01_假设 Assumptions'!D64)</f>
        <v>9489.60129310345</v>
      </c>
      <c r="C23" s="15">
        <f>B23</f>
        <v>9489.60129310345</v>
      </c>
      <c r="D23" s="10" t="str">
        <f>IF(C23&gt;='01_假设 Assumptions'!B53,"已回本","")</f>
        <v/>
      </c>
    </row>
    <row r="24" ht="14.25" spans="1:4">
      <c r="A24" s="5">
        <v>2</v>
      </c>
      <c r="B24" s="15">
        <f>$C21/12*MIN(1,A24/'01_假设 Assumptions'!D64)</f>
        <v>18979.2025862069</v>
      </c>
      <c r="C24" s="15">
        <f t="shared" ref="C24:C34" si="1">C23+B24</f>
        <v>28468.8038793103</v>
      </c>
      <c r="D24" s="10" t="str">
        <f>IF(C24&gt;='01_假设 Assumptions'!B53,"已回本","")</f>
        <v/>
      </c>
    </row>
    <row r="25" ht="14.25" spans="1:4">
      <c r="A25" s="5">
        <v>3</v>
      </c>
      <c r="B25" s="15">
        <f>$C21/12*MIN(1,A25/'01_假设 Assumptions'!D64)</f>
        <v>28468.8038793103</v>
      </c>
      <c r="C25" s="15">
        <f t="shared" si="1"/>
        <v>56937.6077586207</v>
      </c>
      <c r="D25" s="10" t="str">
        <f>IF(C25&gt;='01_假设 Assumptions'!B53,"已回本","")</f>
        <v/>
      </c>
    </row>
    <row r="26" ht="14.25" spans="1:4">
      <c r="A26" s="5">
        <v>4</v>
      </c>
      <c r="B26" s="15">
        <f>$C21/12*MIN(1,A26/'01_假设 Assumptions'!D64)</f>
        <v>37958.4051724138</v>
      </c>
      <c r="C26" s="15">
        <f t="shared" si="1"/>
        <v>94896.0129310345</v>
      </c>
      <c r="D26" s="10" t="str">
        <f>IF(C26&gt;='01_假设 Assumptions'!B53,"已回本","")</f>
        <v/>
      </c>
    </row>
    <row r="27" ht="14.25" spans="1:4">
      <c r="A27" s="5">
        <v>5</v>
      </c>
      <c r="B27" s="15">
        <f>$C21/12*MIN(1,A27/'01_假设 Assumptions'!D64)</f>
        <v>37958.4051724138</v>
      </c>
      <c r="C27" s="15">
        <f t="shared" si="1"/>
        <v>132854.418103448</v>
      </c>
      <c r="D27" s="10" t="str">
        <f>IF(C27&gt;='01_假设 Assumptions'!B53,"已回本","")</f>
        <v>已回本</v>
      </c>
    </row>
    <row r="28" ht="14.25" spans="1:4">
      <c r="A28" s="5">
        <v>6</v>
      </c>
      <c r="B28" s="15">
        <f>$C21/12*MIN(1,A28/'01_假设 Assumptions'!D64)</f>
        <v>37958.4051724138</v>
      </c>
      <c r="C28" s="15">
        <f t="shared" si="1"/>
        <v>170812.823275862</v>
      </c>
      <c r="D28" s="10" t="str">
        <f>IF(C28&gt;='01_假设 Assumptions'!B53,"已回本","")</f>
        <v>已回本</v>
      </c>
    </row>
    <row r="29" ht="14.25" spans="1:4">
      <c r="A29" s="5">
        <v>7</v>
      </c>
      <c r="B29" s="15">
        <f>$C21/12*MIN(1,A29/'01_假设 Assumptions'!D64)</f>
        <v>37958.4051724138</v>
      </c>
      <c r="C29" s="15">
        <f t="shared" si="1"/>
        <v>208771.228448276</v>
      </c>
      <c r="D29" s="10" t="str">
        <f>IF(C29&gt;='01_假设 Assumptions'!B53,"已回本","")</f>
        <v>已回本</v>
      </c>
    </row>
    <row r="30" ht="14.25" spans="1:4">
      <c r="A30" s="5">
        <v>8</v>
      </c>
      <c r="B30" s="15">
        <f>$C21/12*MIN(1,A30/'01_假设 Assumptions'!D64)</f>
        <v>37958.4051724138</v>
      </c>
      <c r="C30" s="15">
        <f t="shared" si="1"/>
        <v>246729.63362069</v>
      </c>
      <c r="D30" s="10" t="str">
        <f>IF(C30&gt;='01_假设 Assumptions'!B53,"已回本","")</f>
        <v>已回本</v>
      </c>
    </row>
    <row r="31" ht="14.25" spans="1:4">
      <c r="A31" s="5">
        <v>9</v>
      </c>
      <c r="B31" s="15">
        <f>$C21/12*MIN(1,A31/'01_假设 Assumptions'!D64)</f>
        <v>37958.4051724138</v>
      </c>
      <c r="C31" s="15">
        <f t="shared" si="1"/>
        <v>284688.038793103</v>
      </c>
      <c r="D31" s="10" t="str">
        <f>IF(C31&gt;='01_假设 Assumptions'!B53,"已回本","")</f>
        <v>已回本</v>
      </c>
    </row>
    <row r="32" ht="14.25" spans="1:4">
      <c r="A32" s="5">
        <v>10</v>
      </c>
      <c r="B32" s="15">
        <f>$C21/12*MIN(1,A32/'01_假设 Assumptions'!D64)</f>
        <v>37958.4051724138</v>
      </c>
      <c r="C32" s="15">
        <f t="shared" si="1"/>
        <v>322646.443965517</v>
      </c>
      <c r="D32" s="10" t="str">
        <f>IF(C32&gt;='01_假设 Assumptions'!B53,"已回本","")</f>
        <v>已回本</v>
      </c>
    </row>
    <row r="33" ht="14.25" spans="1:4">
      <c r="A33" s="5">
        <v>11</v>
      </c>
      <c r="B33" s="15">
        <f>$C21/12*MIN(1,A33/'01_假设 Assumptions'!D64)</f>
        <v>37958.4051724138</v>
      </c>
      <c r="C33" s="15">
        <f t="shared" si="1"/>
        <v>360604.849137931</v>
      </c>
      <c r="D33" s="10" t="str">
        <f>IF(C33&gt;='01_假设 Assumptions'!B53,"已回本","")</f>
        <v>已回本</v>
      </c>
    </row>
    <row r="34" ht="14.25" spans="1:4">
      <c r="A34" s="5">
        <v>12</v>
      </c>
      <c r="B34" s="15">
        <f>$C21/12*MIN(1,A34/'01_假设 Assumptions'!D64)</f>
        <v>37958.4051724138</v>
      </c>
      <c r="C34" s="15">
        <f t="shared" si="1"/>
        <v>398563.254310345</v>
      </c>
      <c r="D34" s="10" t="str">
        <f>IF(C34&gt;='01_假设 Assumptions'!B53,"已回本","")</f>
        <v>已回本</v>
      </c>
    </row>
    <row r="35" ht="14.25" spans="1:4">
      <c r="A35" s="14" t="s">
        <v>199</v>
      </c>
      <c r="B35" s="23">
        <f>IF(COUNTIF(C23:C34,"&lt;"&amp;'01_假设 Assumptions'!B53)=12,"&gt;12",COUNTIF(C23:C34,"&lt;"&amp;'01_假设 Assumptions'!B53)+1)</f>
        <v>5</v>
      </c>
      <c r="C35" s="24"/>
      <c r="D35" s="24"/>
    </row>
    <row r="37" ht="28.5" spans="1:4">
      <c r="A37" s="19" t="s">
        <v>129</v>
      </c>
      <c r="B37" s="20" t="s">
        <v>194</v>
      </c>
      <c r="C37" s="21">
        <f>'06_情景 Scenario'!E8</f>
        <v>646786.551724138</v>
      </c>
      <c r="D37" s="20" t="s">
        <v>126</v>
      </c>
    </row>
    <row r="38" ht="28.5" spans="1:4">
      <c r="A38" s="22" t="s">
        <v>195</v>
      </c>
      <c r="B38" s="22" t="s">
        <v>196</v>
      </c>
      <c r="C38" s="22" t="s">
        <v>197</v>
      </c>
      <c r="D38" s="22" t="s">
        <v>198</v>
      </c>
    </row>
    <row r="39" ht="14.25" spans="1:4">
      <c r="A39" s="5">
        <v>1</v>
      </c>
      <c r="B39" s="15">
        <f>$C37/12*MIN(1,A39/'01_假设 Assumptions'!D65)</f>
        <v>17966.2931034483</v>
      </c>
      <c r="C39" s="15">
        <f>B39</f>
        <v>17966.2931034483</v>
      </c>
      <c r="D39" s="10" t="str">
        <f>IF(C39&gt;='01_假设 Assumptions'!B53,"已回本","")</f>
        <v/>
      </c>
    </row>
    <row r="40" ht="14.25" spans="1:4">
      <c r="A40" s="5">
        <v>2</v>
      </c>
      <c r="B40" s="15">
        <f>$C37/12*MIN(1,A40/'01_假设 Assumptions'!D65)</f>
        <v>35932.5862068966</v>
      </c>
      <c r="C40" s="15">
        <f t="shared" ref="C40:C50" si="2">C39+B40</f>
        <v>53898.8793103448</v>
      </c>
      <c r="D40" s="10" t="str">
        <f>IF(C40&gt;='01_假设 Assumptions'!B53,"已回本","")</f>
        <v/>
      </c>
    </row>
    <row r="41" ht="14.25" spans="1:4">
      <c r="A41" s="5">
        <v>3</v>
      </c>
      <c r="B41" s="15">
        <f>$C37/12*MIN(1,A41/'01_假设 Assumptions'!D65)</f>
        <v>53898.8793103448</v>
      </c>
      <c r="C41" s="15">
        <f t="shared" si="2"/>
        <v>107797.75862069</v>
      </c>
      <c r="D41" s="10" t="str">
        <f>IF(C41&gt;='01_假设 Assumptions'!B53,"已回本","")</f>
        <v/>
      </c>
    </row>
    <row r="42" ht="14.25" spans="1:4">
      <c r="A42" s="5">
        <v>4</v>
      </c>
      <c r="B42" s="15">
        <f>$C37/12*MIN(1,A42/'01_假设 Assumptions'!D65)</f>
        <v>53898.8793103448</v>
      </c>
      <c r="C42" s="15">
        <f t="shared" si="2"/>
        <v>161696.637931034</v>
      </c>
      <c r="D42" s="10" t="str">
        <f>IF(C42&gt;='01_假设 Assumptions'!B53,"已回本","")</f>
        <v>已回本</v>
      </c>
    </row>
    <row r="43" ht="14.25" spans="1:4">
      <c r="A43" s="5">
        <v>5</v>
      </c>
      <c r="B43" s="15">
        <f>$C37/12*MIN(1,A43/'01_假设 Assumptions'!D65)</f>
        <v>53898.8793103448</v>
      </c>
      <c r="C43" s="15">
        <f t="shared" si="2"/>
        <v>215595.517241379</v>
      </c>
      <c r="D43" s="10" t="str">
        <f>IF(C43&gt;='01_假设 Assumptions'!B53,"已回本","")</f>
        <v>已回本</v>
      </c>
    </row>
    <row r="44" ht="14.25" spans="1:4">
      <c r="A44" s="5">
        <v>6</v>
      </c>
      <c r="B44" s="15">
        <f>$C37/12*MIN(1,A44/'01_假设 Assumptions'!D65)</f>
        <v>53898.8793103448</v>
      </c>
      <c r="C44" s="15">
        <f t="shared" si="2"/>
        <v>269494.396551724</v>
      </c>
      <c r="D44" s="10" t="str">
        <f>IF(C44&gt;='01_假设 Assumptions'!B53,"已回本","")</f>
        <v>已回本</v>
      </c>
    </row>
    <row r="45" ht="14.25" spans="1:4">
      <c r="A45" s="5">
        <v>7</v>
      </c>
      <c r="B45" s="15">
        <f>$C37/12*MIN(1,A45/'01_假设 Assumptions'!D65)</f>
        <v>53898.8793103448</v>
      </c>
      <c r="C45" s="15">
        <f t="shared" si="2"/>
        <v>323393.275862069</v>
      </c>
      <c r="D45" s="10" t="str">
        <f>IF(C45&gt;='01_假设 Assumptions'!B53,"已回本","")</f>
        <v>已回本</v>
      </c>
    </row>
    <row r="46" ht="14.25" spans="1:4">
      <c r="A46" s="5">
        <v>8</v>
      </c>
      <c r="B46" s="15">
        <f>$C37/12*MIN(1,A46/'01_假设 Assumptions'!D65)</f>
        <v>53898.8793103448</v>
      </c>
      <c r="C46" s="15">
        <f t="shared" si="2"/>
        <v>377292.155172414</v>
      </c>
      <c r="D46" s="10" t="str">
        <f>IF(C46&gt;='01_假设 Assumptions'!B53,"已回本","")</f>
        <v>已回本</v>
      </c>
    </row>
    <row r="47" ht="14.25" spans="1:4">
      <c r="A47" s="5">
        <v>9</v>
      </c>
      <c r="B47" s="15">
        <f>$C37/12*MIN(1,A47/'01_假设 Assumptions'!D65)</f>
        <v>53898.8793103448</v>
      </c>
      <c r="C47" s="15">
        <f t="shared" si="2"/>
        <v>431191.034482759</v>
      </c>
      <c r="D47" s="10" t="str">
        <f>IF(C47&gt;='01_假设 Assumptions'!B53,"已回本","")</f>
        <v>已回本</v>
      </c>
    </row>
    <row r="48" ht="14.25" spans="1:4">
      <c r="A48" s="5">
        <v>10</v>
      </c>
      <c r="B48" s="15">
        <f>$C37/12*MIN(1,A48/'01_假设 Assumptions'!D65)</f>
        <v>53898.8793103448</v>
      </c>
      <c r="C48" s="15">
        <f t="shared" si="2"/>
        <v>485089.913793103</v>
      </c>
      <c r="D48" s="10" t="str">
        <f>IF(C48&gt;='01_假设 Assumptions'!B53,"已回本","")</f>
        <v>已回本</v>
      </c>
    </row>
    <row r="49" ht="14.25" spans="1:4">
      <c r="A49" s="5">
        <v>11</v>
      </c>
      <c r="B49" s="15">
        <f>$C37/12*MIN(1,A49/'01_假设 Assumptions'!D65)</f>
        <v>53898.8793103448</v>
      </c>
      <c r="C49" s="15">
        <f t="shared" si="2"/>
        <v>538988.793103448</v>
      </c>
      <c r="D49" s="10" t="str">
        <f>IF(C49&gt;='01_假设 Assumptions'!B53,"已回本","")</f>
        <v>已回本</v>
      </c>
    </row>
    <row r="50" ht="14.25" spans="1:4">
      <c r="A50" s="5">
        <v>12</v>
      </c>
      <c r="B50" s="15">
        <f>$C37/12*MIN(1,A50/'01_假设 Assumptions'!D65)</f>
        <v>53898.8793103448</v>
      </c>
      <c r="C50" s="15">
        <f t="shared" si="2"/>
        <v>592887.672413793</v>
      </c>
      <c r="D50" s="10" t="str">
        <f>IF(C50&gt;='01_假设 Assumptions'!B53,"已回本","")</f>
        <v>已回本</v>
      </c>
    </row>
    <row r="51" ht="14.25" spans="1:4">
      <c r="A51" s="14" t="s">
        <v>199</v>
      </c>
      <c r="B51" s="23">
        <f>IF(COUNTIF(C39:C50,"&lt;"&amp;'01_假设 Assumptions'!B53)=12,"&gt;12",COUNTIF(C39:C50,"&lt;"&amp;'01_假设 Assumptions'!B53)+1)</f>
        <v>4</v>
      </c>
      <c r="C51" s="24"/>
      <c r="D51" s="24"/>
    </row>
  </sheetData>
  <mergeCells count="1">
    <mergeCell ref="A4:D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M20" sqref="M20"/>
    </sheetView>
  </sheetViews>
  <sheetFormatPr defaultColWidth="9" defaultRowHeight="13.5" outlineLevelRow="7" outlineLevelCol="6"/>
  <cols>
    <col min="1" max="1" width="46" customWidth="1"/>
    <col min="2" max="2" width="18" customWidth="1"/>
    <col min="3" max="3" width="14" customWidth="1"/>
    <col min="4" max="4" width="16" customWidth="1"/>
    <col min="5" max="5" width="22" customWidth="1"/>
    <col min="6" max="6" width="20" customWidth="1"/>
    <col min="7" max="7" width="22" customWidth="1"/>
  </cols>
  <sheetData>
    <row r="1" ht="18" spans="1:1">
      <c r="A1" s="1" t="s">
        <v>200</v>
      </c>
    </row>
    <row r="2" ht="14.25" spans="1:1">
      <c r="A2" s="2" t="s">
        <v>201</v>
      </c>
    </row>
    <row r="4" spans="1:1">
      <c r="A4" s="3" t="s">
        <v>202</v>
      </c>
    </row>
    <row r="5" ht="28.5" spans="1:7">
      <c r="A5" s="14" t="s">
        <v>123</v>
      </c>
      <c r="B5" s="4" t="s">
        <v>124</v>
      </c>
      <c r="C5" s="4" t="s">
        <v>125</v>
      </c>
      <c r="D5" s="4" t="s">
        <v>126</v>
      </c>
      <c r="E5" s="4" t="s">
        <v>203</v>
      </c>
      <c r="F5" s="4" t="s">
        <v>204</v>
      </c>
      <c r="G5" s="4" t="s">
        <v>205</v>
      </c>
    </row>
    <row r="6" ht="14.25" spans="1:7">
      <c r="A6" s="9">
        <f>'01_假设 Assumptions'!B63</f>
        <v>0.75</v>
      </c>
      <c r="B6" s="11">
        <f>'01_假设 Assumptions'!B63</f>
        <v>0.75</v>
      </c>
      <c r="C6" s="7">
        <f>'01_假设 Assumptions'!C63</f>
        <v>0.7</v>
      </c>
      <c r="D6" s="18">
        <f>'01_假设 Assumptions'!D63</f>
        <v>5</v>
      </c>
      <c r="E6" s="15">
        <f>(('03_收益 Benefit'!B9*$B6-'03_收益 Benefit'!B14)*'01_假设 Assumptions'!B17*$C6-'01_假设 Assumptions'!B59)</f>
        <v>244307.327586207</v>
      </c>
      <c r="F6" s="11">
        <f>'01_假设 Assumptions'!B53/(E6/12)</f>
        <v>5.49991266652905</v>
      </c>
      <c r="G6" s="18">
        <f>'05_月现金流 Ramp'!B19</f>
        <v>8</v>
      </c>
    </row>
    <row r="7" ht="14.25" spans="1:7">
      <c r="A7" s="9">
        <f>'01_假设 Assumptions'!B64</f>
        <v>1</v>
      </c>
      <c r="B7" s="11">
        <f>'01_假设 Assumptions'!B64</f>
        <v>1</v>
      </c>
      <c r="C7" s="7">
        <f>'01_假设 Assumptions'!C64</f>
        <v>0.85</v>
      </c>
      <c r="D7" s="18">
        <f>'01_假设 Assumptions'!D64</f>
        <v>4</v>
      </c>
      <c r="E7" s="15">
        <f>(('03_收益 Benefit'!B9*$B7-'03_收益 Benefit'!B14)*'01_假设 Assumptions'!B17*$C7-'01_假设 Assumptions'!B59)</f>
        <v>455500.862068966</v>
      </c>
      <c r="F7" s="11">
        <f>'01_假设 Assumptions'!B53/(E7/12)</f>
        <v>2.94987139961505</v>
      </c>
      <c r="G7" s="18">
        <f>'05_月现金流 Ramp'!B35</f>
        <v>5</v>
      </c>
    </row>
    <row r="8" ht="14.25" spans="1:7">
      <c r="A8" s="9">
        <f>'01_假设 Assumptions'!B65</f>
        <v>1.2</v>
      </c>
      <c r="B8" s="11">
        <f>'01_假设 Assumptions'!B65</f>
        <v>1.2</v>
      </c>
      <c r="C8" s="7">
        <f>'01_假设 Assumptions'!C65</f>
        <v>0.95</v>
      </c>
      <c r="D8" s="18">
        <f>'01_假设 Assumptions'!D65</f>
        <v>3</v>
      </c>
      <c r="E8" s="15">
        <f>(('03_收益 Benefit'!B9*$B8-'03_收益 Benefit'!B14)*'01_假设 Assumptions'!B17*$C8-'01_假设 Assumptions'!B59)</f>
        <v>646786.551724138</v>
      </c>
      <c r="F8" s="11">
        <f>'01_假设 Assumptions'!B53/(E8/12)</f>
        <v>2.0774534689001</v>
      </c>
      <c r="G8" s="18">
        <f>'05_月现金流 Ramp'!B51</f>
        <v>4</v>
      </c>
    </row>
  </sheetData>
  <mergeCells count="1">
    <mergeCell ref="A4:G4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J45" sqref="J45"/>
    </sheetView>
  </sheetViews>
  <sheetFormatPr defaultColWidth="9" defaultRowHeight="13.5" outlineLevelCol="5"/>
  <cols>
    <col min="1" max="1" width="40" customWidth="1"/>
    <col min="2" max="2" width="18" customWidth="1"/>
    <col min="3" max="3" width="16" customWidth="1"/>
    <col min="4" max="5" width="18" customWidth="1"/>
  </cols>
  <sheetData>
    <row r="1" ht="18" spans="1:1">
      <c r="A1" s="1" t="s">
        <v>206</v>
      </c>
    </row>
    <row r="2" ht="14.25" spans="1:1">
      <c r="A2" s="2" t="s">
        <v>207</v>
      </c>
    </row>
    <row r="4" spans="1:1">
      <c r="A4" s="3" t="s">
        <v>208</v>
      </c>
    </row>
    <row r="5" ht="28.5" spans="1:4">
      <c r="A5" s="8" t="s">
        <v>209</v>
      </c>
      <c r="B5" s="13"/>
      <c r="C5" s="13"/>
      <c r="D5" s="13"/>
    </row>
    <row r="6" ht="28.5" spans="1:5">
      <c r="A6" s="14" t="s">
        <v>210</v>
      </c>
      <c r="B6" s="4" t="s">
        <v>211</v>
      </c>
      <c r="C6" s="4" t="s">
        <v>203</v>
      </c>
      <c r="D6" s="4" t="s">
        <v>212</v>
      </c>
      <c r="E6" s="4" t="s">
        <v>213</v>
      </c>
    </row>
    <row r="7" ht="14.25" spans="1:5">
      <c r="A7" s="9" t="s">
        <v>214</v>
      </c>
      <c r="B7" s="7">
        <f>'01_假设 Assumptions'!B28*0.8</f>
        <v>0.48</v>
      </c>
      <c r="C7" s="15">
        <f>(('03_收益 Benefit'!B6+'03_收益 Benefit'!B7+'03_收益 Benefit'!B8+'02_基线 Baseline'!B11*B7)-'03_收益 Benefit'!B14)*'01_假设 Assumptions'!B17*'01_假设 Assumptions'!B32-'01_假设 Assumptions'!B59</f>
        <v>412766.379310345</v>
      </c>
      <c r="D7" s="7">
        <f>C7/'01_假设 Assumptions'!B53</f>
        <v>3.68632206208426</v>
      </c>
      <c r="E7" s="11">
        <f>'01_假设 Assumptions'!B53/(C7/12)</f>
        <v>3.25527715644443</v>
      </c>
    </row>
    <row r="8" ht="14.25" spans="1:5">
      <c r="A8" s="9" t="s">
        <v>215</v>
      </c>
      <c r="B8" s="7">
        <f>'01_假设 Assumptions'!B28*1</f>
        <v>0.6</v>
      </c>
      <c r="C8" s="15">
        <f>(('03_收益 Benefit'!B6+'03_收益 Benefit'!B7+'03_收益 Benefit'!B8+'02_基线 Baseline'!B11*B8)-'03_收益 Benefit'!B14)*'01_假设 Assumptions'!B17*'01_假设 Assumptions'!B32-'01_假设 Assumptions'!B59</f>
        <v>455500.862068966</v>
      </c>
      <c r="D8" s="7">
        <f>C8/'01_假设 Assumptions'!B53</f>
        <v>4.06797394678492</v>
      </c>
      <c r="E8" s="11">
        <f>'01_假设 Assumptions'!B53/(C8/12)</f>
        <v>2.94987139961505</v>
      </c>
    </row>
    <row r="9" ht="14.25" spans="1:5">
      <c r="A9" s="9" t="s">
        <v>216</v>
      </c>
      <c r="B9" s="7">
        <f>'01_假设 Assumptions'!B28*1.2</f>
        <v>0.72</v>
      </c>
      <c r="C9" s="15">
        <f>(('03_收益 Benefit'!B6+'03_收益 Benefit'!B7+'03_收益 Benefit'!B8+'02_基线 Baseline'!B11*B9)-'03_收益 Benefit'!B14)*'01_假设 Assumptions'!B17*'01_假设 Assumptions'!B32-'01_假设 Assumptions'!B59</f>
        <v>498235.344827586</v>
      </c>
      <c r="D9" s="7">
        <f>C9/'01_假设 Assumptions'!B53</f>
        <v>4.44962583148559</v>
      </c>
      <c r="E9" s="11">
        <f>'01_假设 Assumptions'!B53/(C9/12)</f>
        <v>2.6968559727175</v>
      </c>
    </row>
    <row r="10" ht="14.25" spans="1:5">
      <c r="A10" s="9" t="s">
        <v>217</v>
      </c>
      <c r="B10" s="7">
        <f>'01_假设 Assumptions'!B29*0.8</f>
        <v>0.56</v>
      </c>
      <c r="C10" s="15">
        <f>(('03_收益 Benefit'!B5+'03_收益 Benefit'!B7+'03_收益 Benefit'!B8+'02_基线 Baseline'!B12*B10)-'03_收益 Benefit'!B14)*'01_假设 Assumptions'!B17*'01_假设 Assumptions'!B32-'01_假设 Assumptions'!B59</f>
        <v>389025</v>
      </c>
      <c r="D10" s="7">
        <f>C10/'01_假设 Assumptions'!B53</f>
        <v>3.47429323725055</v>
      </c>
      <c r="E10" s="11">
        <f>'01_假设 Assumptions'!B53/(C10/12)</f>
        <v>3.45393988951158</v>
      </c>
    </row>
    <row r="11" ht="14.25" spans="1:5">
      <c r="A11" s="9" t="s">
        <v>218</v>
      </c>
      <c r="B11" s="7">
        <f>'01_假设 Assumptions'!B29*1</f>
        <v>0.7</v>
      </c>
      <c r="C11" s="15">
        <f>(('03_收益 Benefit'!B5+'03_收益 Benefit'!B7+'03_收益 Benefit'!B8+'02_基线 Baseline'!B12*B11)-'03_收益 Benefit'!B14)*'01_假设 Assumptions'!B17*'01_假设 Assumptions'!B32-'01_假设 Assumptions'!B59</f>
        <v>455500.862068966</v>
      </c>
      <c r="D11" s="7">
        <f>C11/'01_假设 Assumptions'!B53</f>
        <v>4.06797394678492</v>
      </c>
      <c r="E11" s="11">
        <f>'01_假设 Assumptions'!B53/(C11/12)</f>
        <v>2.94987139961505</v>
      </c>
    </row>
    <row r="12" ht="14.25" spans="1:5">
      <c r="A12" s="9" t="s">
        <v>219</v>
      </c>
      <c r="B12" s="7">
        <f>'01_假设 Assumptions'!B29*1.2</f>
        <v>0.84</v>
      </c>
      <c r="C12" s="15">
        <f>(('03_收益 Benefit'!B5+'03_收益 Benefit'!B7+'03_收益 Benefit'!B8+'02_基线 Baseline'!B12*B12)-'03_收益 Benefit'!B14)*'01_假设 Assumptions'!B17*'01_假设 Assumptions'!B32-'01_假设 Assumptions'!B59</f>
        <v>521976.724137931</v>
      </c>
      <c r="D12" s="7">
        <f>C12/'01_假设 Assumptions'!B53</f>
        <v>4.66165465631929</v>
      </c>
      <c r="E12" s="11">
        <f>'01_假设 Assumptions'!B53/(C12/12)</f>
        <v>2.57419326069831</v>
      </c>
    </row>
    <row r="13" ht="14.25" spans="1:5">
      <c r="A13" s="9" t="s">
        <v>220</v>
      </c>
      <c r="B13" s="7">
        <f>'01_假设 Assumptions'!B30*0.8</f>
        <v>0.48</v>
      </c>
      <c r="C13" s="15">
        <f>(('03_收益 Benefit'!B5+'03_收益 Benefit'!B6+'03_收益 Benefit'!B8+'02_基线 Baseline'!B13*B13)-'03_收益 Benefit'!B14)*'01_假设 Assumptions'!B17*'01_假设 Assumptions'!B32-'01_假设 Assumptions'!B59</f>
        <v>450515.172413793</v>
      </c>
      <c r="D13" s="7">
        <f>C13/'01_假设 Assumptions'!B53</f>
        <v>4.02344789356985</v>
      </c>
      <c r="E13" s="11">
        <f>'01_假设 Assumptions'!B53/(C13/12)</f>
        <v>2.98251656724026</v>
      </c>
    </row>
    <row r="14" ht="14.25" spans="1:5">
      <c r="A14" s="9" t="s">
        <v>221</v>
      </c>
      <c r="B14" s="7">
        <f>'01_假设 Assumptions'!B30*1</f>
        <v>0.6</v>
      </c>
      <c r="C14" s="15">
        <f>(('03_收益 Benefit'!B5+'03_收益 Benefit'!B6+'03_收益 Benefit'!B8+'02_基线 Baseline'!B13*B14)-'03_收益 Benefit'!B14)*'01_假设 Assumptions'!B17*'01_假设 Assumptions'!B32-'01_假设 Assumptions'!B59</f>
        <v>455500.862068966</v>
      </c>
      <c r="D14" s="7">
        <f>C14/'01_假设 Assumptions'!B53</f>
        <v>4.06797394678492</v>
      </c>
      <c r="E14" s="11">
        <f>'01_假设 Assumptions'!B53/(C14/12)</f>
        <v>2.94987139961505</v>
      </c>
    </row>
    <row r="15" ht="14.25" spans="1:5">
      <c r="A15" s="9" t="s">
        <v>222</v>
      </c>
      <c r="B15" s="7">
        <f>'01_假设 Assumptions'!B30*1.2</f>
        <v>0.72</v>
      </c>
      <c r="C15" s="15">
        <f>(('03_收益 Benefit'!B5+'03_收益 Benefit'!B6+'03_收益 Benefit'!B8+'02_基线 Baseline'!B13*B15)-'03_收益 Benefit'!B14)*'01_假设 Assumptions'!B17*'01_假设 Assumptions'!B32-'01_假设 Assumptions'!B59</f>
        <v>460486.551724138</v>
      </c>
      <c r="D15" s="7">
        <f>C15/'01_假设 Assumptions'!B53</f>
        <v>4.1125</v>
      </c>
      <c r="E15" s="11">
        <f>'01_假设 Assumptions'!B53/(C15/12)</f>
        <v>2.91793313069909</v>
      </c>
    </row>
    <row r="16" ht="14.25" spans="1:5">
      <c r="A16" s="9" t="s">
        <v>223</v>
      </c>
      <c r="B16" s="7">
        <f>'01_假设 Assumptions'!B31*0.8</f>
        <v>0.32</v>
      </c>
      <c r="C16" s="15">
        <f>(('03_收益 Benefit'!B5+'03_收益 Benefit'!B6+'03_收益 Benefit'!B7+'02_基线 Baseline'!B14*B16)-'03_收益 Benefit'!B14)*'01_假设 Assumptions'!B17*'01_假设 Assumptions'!B32-'01_假设 Assumptions'!B59</f>
        <v>452651.896551724</v>
      </c>
      <c r="D16" s="7">
        <f>C16/'01_假设 Assumptions'!B53</f>
        <v>4.04253048780488</v>
      </c>
      <c r="E16" s="11">
        <f>'01_假设 Assumptions'!B53/(C16/12)</f>
        <v>2.96843772389607</v>
      </c>
    </row>
    <row r="17" ht="14.25" spans="1:5">
      <c r="A17" s="9" t="s">
        <v>224</v>
      </c>
      <c r="B17" s="7">
        <f>'01_假设 Assumptions'!B31*1</f>
        <v>0.4</v>
      </c>
      <c r="C17" s="15">
        <f>(('03_收益 Benefit'!B5+'03_收益 Benefit'!B6+'03_收益 Benefit'!B7+'02_基线 Baseline'!B14*B17)-'03_收益 Benefit'!B14)*'01_假设 Assumptions'!B17*'01_假设 Assumptions'!B32-'01_假设 Assumptions'!B59</f>
        <v>455500.862068966</v>
      </c>
      <c r="D17" s="7">
        <f>C17/'01_假设 Assumptions'!B53</f>
        <v>4.06797394678492</v>
      </c>
      <c r="E17" s="11">
        <f>'01_假设 Assumptions'!B53/(C17/12)</f>
        <v>2.94987139961505</v>
      </c>
    </row>
    <row r="18" ht="14.25" spans="1:5">
      <c r="A18" s="9" t="s">
        <v>225</v>
      </c>
      <c r="B18" s="7">
        <f>'01_假设 Assumptions'!B31*1.2</f>
        <v>0.48</v>
      </c>
      <c r="C18" s="15">
        <f>(('03_收益 Benefit'!B5+'03_收益 Benefit'!B6+'03_收益 Benefit'!B7+'02_基线 Baseline'!B14*B18)-'03_收益 Benefit'!B14)*'01_假设 Assumptions'!B17*'01_假设 Assumptions'!B32-'01_假设 Assumptions'!B59</f>
        <v>458349.827586207</v>
      </c>
      <c r="D18" s="7">
        <f>C18/'01_假设 Assumptions'!B53</f>
        <v>4.09341740576497</v>
      </c>
      <c r="E18" s="11">
        <f>'01_假设 Assumptions'!B53/(C18/12)</f>
        <v>2.93153588077771</v>
      </c>
    </row>
    <row r="20" ht="28.5" spans="1:4">
      <c r="A20" s="8" t="s">
        <v>226</v>
      </c>
      <c r="B20" s="13"/>
      <c r="C20" s="13"/>
      <c r="D20" s="13"/>
    </row>
    <row r="21" ht="28.5" spans="1:4">
      <c r="A21" s="14" t="s">
        <v>125</v>
      </c>
      <c r="B21" s="4" t="s">
        <v>203</v>
      </c>
      <c r="C21" s="4" t="s">
        <v>212</v>
      </c>
      <c r="D21" s="4" t="s">
        <v>213</v>
      </c>
    </row>
    <row r="22" ht="14.25" spans="1:4">
      <c r="A22" s="9" t="s">
        <v>227</v>
      </c>
      <c r="B22" s="15">
        <f>'03_收益 Benefit'!B17*'01_假设 Assumptions'!B17*0.5-'01_假设 Assumptions'!B59</f>
        <v>243853.448275862</v>
      </c>
      <c r="C22" s="7">
        <f>B22/'01_假设 Assumptions'!B53</f>
        <v>2.17779933481153</v>
      </c>
      <c r="D22" s="11">
        <f>'01_假设 Assumptions'!B53/(B22/12)</f>
        <v>5.51014953865733</v>
      </c>
    </row>
    <row r="23" ht="14.25" spans="1:4">
      <c r="A23" s="9" t="s">
        <v>228</v>
      </c>
      <c r="B23" s="15">
        <f>'03_收益 Benefit'!B17*'01_假设 Assumptions'!B17*0.6-'01_假设 Assumptions'!B59</f>
        <v>304324.137931034</v>
      </c>
      <c r="C23" s="7">
        <f>B23/'01_假设 Assumptions'!B53</f>
        <v>2.71784922394678</v>
      </c>
      <c r="D23" s="11">
        <f>'01_假设 Assumptions'!B53/(B23/12)</f>
        <v>4.41525596573526</v>
      </c>
    </row>
    <row r="24" ht="14.25" spans="1:4">
      <c r="A24" s="9" t="s">
        <v>229</v>
      </c>
      <c r="B24" s="15">
        <f>'03_收益 Benefit'!B17*'01_假设 Assumptions'!B17*0.7-'01_假设 Assumptions'!B59</f>
        <v>364794.827586207</v>
      </c>
      <c r="C24" s="7">
        <f>B24/'01_假设 Assumptions'!B53</f>
        <v>3.25789911308204</v>
      </c>
      <c r="D24" s="11">
        <f>'01_假设 Assumptions'!B53/(B24/12)</f>
        <v>3.68335531073206</v>
      </c>
    </row>
    <row r="25" ht="14.25" spans="1:4">
      <c r="A25" s="9" t="s">
        <v>230</v>
      </c>
      <c r="B25" s="15">
        <f>'03_收益 Benefit'!B17*'01_假设 Assumptions'!B17*0.85-'01_假设 Assumptions'!B59</f>
        <v>455500.862068966</v>
      </c>
      <c r="C25" s="7">
        <f>B25/'01_假设 Assumptions'!B53</f>
        <v>4.06797394678492</v>
      </c>
      <c r="D25" s="11">
        <f>'01_假设 Assumptions'!B53/(B25/12)</f>
        <v>2.94987139961505</v>
      </c>
    </row>
    <row r="26" ht="14.25" spans="1:4">
      <c r="A26" s="9" t="s">
        <v>231</v>
      </c>
      <c r="B26" s="15">
        <f>'03_收益 Benefit'!B17*'01_假设 Assumptions'!B17*0.95-'01_假设 Assumptions'!B59</f>
        <v>515971.551724138</v>
      </c>
      <c r="C26" s="7">
        <f>B26/'01_假设 Assumptions'!B53</f>
        <v>4.60802383592018</v>
      </c>
      <c r="D26" s="11">
        <f>'01_假设 Assumptions'!B53/(B26/12)</f>
        <v>2.60415319609642</v>
      </c>
    </row>
    <row r="27" ht="14.25" spans="1:4">
      <c r="A27" s="9" t="s">
        <v>232</v>
      </c>
      <c r="B27" s="15">
        <f>'03_收益 Benefit'!B17*'01_假设 Assumptions'!B17*1-'01_假设 Assumptions'!B59</f>
        <v>546206.896551724</v>
      </c>
      <c r="C27" s="7">
        <f>B27/'01_假设 Assumptions'!B53</f>
        <v>4.8780487804878</v>
      </c>
      <c r="D27" s="11">
        <f>'01_假设 Assumptions'!B53/(B27/12)</f>
        <v>2.46</v>
      </c>
    </row>
    <row r="29" ht="28.5" spans="1:4">
      <c r="A29" s="8" t="s">
        <v>233</v>
      </c>
      <c r="B29" s="13"/>
      <c r="C29" s="13"/>
      <c r="D29" s="13"/>
    </row>
    <row r="30" spans="1:1">
      <c r="A30" s="3" t="s">
        <v>234</v>
      </c>
    </row>
    <row r="31" ht="14.25" spans="1:6">
      <c r="A31" s="14" t="s">
        <v>235</v>
      </c>
      <c r="B31" s="16">
        <v>0.6</v>
      </c>
      <c r="C31" s="16">
        <v>0.7</v>
      </c>
      <c r="D31" s="16">
        <v>0.8</v>
      </c>
      <c r="E31" s="16">
        <v>0.9</v>
      </c>
      <c r="F31" s="16">
        <v>1</v>
      </c>
    </row>
    <row r="32" ht="14.25" spans="1:6">
      <c r="A32" s="17">
        <v>0.7</v>
      </c>
      <c r="B32" s="15">
        <f>(('03_收益 Benefit'!B9*$A32)-'03_收益 Benefit'!B14)*'01_假设 Assumptions'!B17*B$31-'01_假设 Assumptions'!B59</f>
        <v>180394.137931034</v>
      </c>
      <c r="C32" s="15">
        <f>(('03_收益 Benefit'!B9*$A32)-'03_收益 Benefit'!B14)*'01_假设 Assumptions'!B17*C$31-'01_假设 Assumptions'!B59</f>
        <v>220209.827586207</v>
      </c>
      <c r="D32" s="15">
        <f>(('03_收益 Benefit'!B9*$A32)-'03_收益 Benefit'!B14)*'01_假设 Assumptions'!B17*D$31-'01_假设 Assumptions'!B59</f>
        <v>260025.517241379</v>
      </c>
      <c r="E32" s="15">
        <f>(('03_收益 Benefit'!B9*$A32)-'03_收益 Benefit'!B14)*'01_假设 Assumptions'!B17*E$31-'01_假设 Assumptions'!B59</f>
        <v>299841.206896552</v>
      </c>
      <c r="F32" s="15">
        <f>(('03_收益 Benefit'!B9*$A32)-'03_收益 Benefit'!B14)*'01_假设 Assumptions'!B17*F$31-'01_假设 Assumptions'!B59</f>
        <v>339656.896551724</v>
      </c>
    </row>
    <row r="33" ht="14.25" spans="1:6">
      <c r="A33" s="17">
        <v>0.85</v>
      </c>
      <c r="B33" s="15">
        <f>(('03_收益 Benefit'!B9*$A33)-'03_收益 Benefit'!B14)*'01_假设 Assumptions'!B17*B$31-'01_假设 Assumptions'!B59</f>
        <v>242359.137931034</v>
      </c>
      <c r="C33" s="15">
        <f>(('03_收益 Benefit'!B9*$A33)-'03_收益 Benefit'!B14)*'01_假设 Assumptions'!B17*C$31-'01_假设 Assumptions'!B59</f>
        <v>292502.327586207</v>
      </c>
      <c r="D33" s="15">
        <f>(('03_收益 Benefit'!B9*$A33)-'03_收益 Benefit'!B14)*'01_假设 Assumptions'!B17*D$31-'01_假设 Assumptions'!B59</f>
        <v>342645.517241379</v>
      </c>
      <c r="E33" s="15">
        <f>(('03_收益 Benefit'!B9*$A33)-'03_收益 Benefit'!B14)*'01_假设 Assumptions'!B17*E$31-'01_假设 Assumptions'!B59</f>
        <v>392788.706896552</v>
      </c>
      <c r="F33" s="15">
        <f>(('03_收益 Benefit'!B9*$A33)-'03_收益 Benefit'!B14)*'01_假设 Assumptions'!B17*F$31-'01_假设 Assumptions'!B59</f>
        <v>442931.896551724</v>
      </c>
    </row>
    <row r="34" ht="14.25" spans="1:6">
      <c r="A34" s="17">
        <v>1</v>
      </c>
      <c r="B34" s="15">
        <f>(('03_收益 Benefit'!B9*$A34)-'03_收益 Benefit'!B14)*'01_假设 Assumptions'!B17*B$31-'01_假设 Assumptions'!B59</f>
        <v>304324.137931034</v>
      </c>
      <c r="C34" s="15">
        <f>(('03_收益 Benefit'!B9*$A34)-'03_收益 Benefit'!B14)*'01_假设 Assumptions'!B17*C$31-'01_假设 Assumptions'!B59</f>
        <v>364794.827586207</v>
      </c>
      <c r="D34" s="15">
        <f>(('03_收益 Benefit'!B9*$A34)-'03_收益 Benefit'!B14)*'01_假设 Assumptions'!B17*D$31-'01_假设 Assumptions'!B59</f>
        <v>425265.517241379</v>
      </c>
      <c r="E34" s="15">
        <f>(('03_收益 Benefit'!B9*$A34)-'03_收益 Benefit'!B14)*'01_假设 Assumptions'!B17*E$31-'01_假设 Assumptions'!B59</f>
        <v>485736.206896552</v>
      </c>
      <c r="F34" s="15">
        <f>(('03_收益 Benefit'!B9*$A34)-'03_收益 Benefit'!B14)*'01_假设 Assumptions'!B17*F$31-'01_假设 Assumptions'!B59</f>
        <v>546206.896551724</v>
      </c>
    </row>
    <row r="35" ht="14.25" spans="1:6">
      <c r="A35" s="17">
        <v>1.15</v>
      </c>
      <c r="B35" s="15">
        <f>(('03_收益 Benefit'!B9*$A35)-'03_收益 Benefit'!B14)*'01_假设 Assumptions'!B17*B$31-'01_假设 Assumptions'!B59</f>
        <v>366289.137931034</v>
      </c>
      <c r="C35" s="15">
        <f>(('03_收益 Benefit'!B9*$A35)-'03_收益 Benefit'!B14)*'01_假设 Assumptions'!B17*C$31-'01_假设 Assumptions'!B59</f>
        <v>437087.327586207</v>
      </c>
      <c r="D35" s="15">
        <f>(('03_收益 Benefit'!B9*$A35)-'03_收益 Benefit'!B14)*'01_假设 Assumptions'!B17*D$31-'01_假设 Assumptions'!B59</f>
        <v>507885.517241379</v>
      </c>
      <c r="E35" s="15">
        <f>(('03_收益 Benefit'!B9*$A35)-'03_收益 Benefit'!B14)*'01_假设 Assumptions'!B17*E$31-'01_假设 Assumptions'!B59</f>
        <v>578683.706896552</v>
      </c>
      <c r="F35" s="15">
        <f>(('03_收益 Benefit'!B9*$A35)-'03_收益 Benefit'!B14)*'01_假设 Assumptions'!B17*F$31-'01_假设 Assumptions'!B59</f>
        <v>649481.896551724</v>
      </c>
    </row>
    <row r="36" ht="14.25" spans="1:6">
      <c r="A36" s="17">
        <v>1.3</v>
      </c>
      <c r="B36" s="15">
        <f>(('03_收益 Benefit'!B9*$A36)-'03_收益 Benefit'!B14)*'01_假设 Assumptions'!B17*B$31-'01_假设 Assumptions'!B59</f>
        <v>428254.137931034</v>
      </c>
      <c r="C36" s="15">
        <f>(('03_收益 Benefit'!B9*$A36)-'03_收益 Benefit'!B14)*'01_假设 Assumptions'!B17*C$31-'01_假设 Assumptions'!B59</f>
        <v>509379.827586207</v>
      </c>
      <c r="D36" s="15">
        <f>(('03_收益 Benefit'!B9*$A36)-'03_收益 Benefit'!B14)*'01_假设 Assumptions'!B17*D$31-'01_假设 Assumptions'!B59</f>
        <v>590505.517241379</v>
      </c>
      <c r="E36" s="15">
        <f>(('03_收益 Benefit'!B9*$A36)-'03_收益 Benefit'!B14)*'01_假设 Assumptions'!B17*E$31-'01_假设 Assumptions'!B59</f>
        <v>671631.206896552</v>
      </c>
      <c r="F36" s="15">
        <f>(('03_收益 Benefit'!B9*$A36)-'03_收益 Benefit'!B14)*'01_假设 Assumptions'!B17*F$31-'01_假设 Assumptions'!B59</f>
        <v>752756.896551724</v>
      </c>
    </row>
  </sheetData>
  <mergeCells count="2">
    <mergeCell ref="A4:D4"/>
    <mergeCell ref="A30:E30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workbookViewId="0">
      <selection activeCell="I24" sqref="I24"/>
    </sheetView>
  </sheetViews>
  <sheetFormatPr defaultColWidth="9" defaultRowHeight="13.5"/>
  <cols>
    <col min="1" max="1" width="5.75" customWidth="1"/>
    <col min="2" max="2" width="18" customWidth="1"/>
    <col min="3" max="3" width="16" customWidth="1"/>
    <col min="4" max="4" width="14" customWidth="1"/>
    <col min="5" max="7" width="16" customWidth="1"/>
    <col min="8" max="9" width="14" customWidth="1"/>
  </cols>
  <sheetData>
    <row r="1" ht="18" spans="1:1">
      <c r="A1" s="1" t="s">
        <v>236</v>
      </c>
    </row>
    <row r="2" ht="14.25" spans="1:1">
      <c r="A2" s="2" t="s">
        <v>237</v>
      </c>
    </row>
    <row r="4" spans="1:1">
      <c r="A4" s="3" t="s">
        <v>238</v>
      </c>
    </row>
    <row r="5" ht="28.5" spans="1:9">
      <c r="A5" s="4" t="s">
        <v>239</v>
      </c>
      <c r="B5" s="4" t="s">
        <v>240</v>
      </c>
      <c r="C5" s="4" t="s">
        <v>241</v>
      </c>
      <c r="D5" s="4" t="s">
        <v>242</v>
      </c>
      <c r="E5" s="4" t="s">
        <v>243</v>
      </c>
      <c r="F5" s="4" t="s">
        <v>244</v>
      </c>
      <c r="G5" s="4" t="s">
        <v>245</v>
      </c>
      <c r="H5" s="4" t="s">
        <v>246</v>
      </c>
      <c r="I5" s="4" t="s">
        <v>247</v>
      </c>
    </row>
    <row r="6" ht="14.25" spans="1:9">
      <c r="A6" s="5">
        <v>1</v>
      </c>
      <c r="B6" s="6"/>
      <c r="C6" s="6"/>
      <c r="D6" s="6"/>
      <c r="E6" s="6"/>
      <c r="F6" s="6"/>
      <c r="G6" s="6"/>
      <c r="H6" s="7" t="str">
        <f t="shared" ref="H6:H25" si="0">IF(C6="","",D6/C6)</f>
        <v/>
      </c>
      <c r="I6" s="7" t="str">
        <f t="shared" ref="I6:I25" si="1">IF(E6="","",1-(F6+G6)/E6)</f>
        <v/>
      </c>
    </row>
    <row r="7" ht="14.25" spans="1:9">
      <c r="A7" s="5">
        <v>2</v>
      </c>
      <c r="B7" s="6"/>
      <c r="C7" s="6"/>
      <c r="D7" s="6"/>
      <c r="E7" s="6"/>
      <c r="F7" s="6"/>
      <c r="G7" s="6"/>
      <c r="H7" s="7" t="str">
        <f t="shared" si="0"/>
        <v/>
      </c>
      <c r="I7" s="7" t="str">
        <f t="shared" si="1"/>
        <v/>
      </c>
    </row>
    <row r="8" ht="14.25" spans="1:9">
      <c r="A8" s="5">
        <v>3</v>
      </c>
      <c r="B8" s="6"/>
      <c r="C8" s="6"/>
      <c r="D8" s="6"/>
      <c r="E8" s="6"/>
      <c r="F8" s="6"/>
      <c r="G8" s="6"/>
      <c r="H8" s="7" t="str">
        <f t="shared" si="0"/>
        <v/>
      </c>
      <c r="I8" s="7" t="str">
        <f t="shared" si="1"/>
        <v/>
      </c>
    </row>
    <row r="9" ht="14.25" spans="1:9">
      <c r="A9" s="5">
        <v>4</v>
      </c>
      <c r="B9" s="6"/>
      <c r="C9" s="6"/>
      <c r="D9" s="6"/>
      <c r="E9" s="6"/>
      <c r="F9" s="6"/>
      <c r="G9" s="6"/>
      <c r="H9" s="7" t="str">
        <f t="shared" si="0"/>
        <v/>
      </c>
      <c r="I9" s="7" t="str">
        <f t="shared" si="1"/>
        <v/>
      </c>
    </row>
    <row r="10" ht="14.25" spans="1:9">
      <c r="A10" s="5">
        <v>5</v>
      </c>
      <c r="B10" s="6"/>
      <c r="C10" s="6"/>
      <c r="D10" s="6"/>
      <c r="E10" s="6"/>
      <c r="F10" s="6"/>
      <c r="G10" s="6"/>
      <c r="H10" s="7" t="str">
        <f t="shared" si="0"/>
        <v/>
      </c>
      <c r="I10" s="7" t="str">
        <f t="shared" si="1"/>
        <v/>
      </c>
    </row>
    <row r="11" ht="14.25" spans="1:9">
      <c r="A11" s="5">
        <v>6</v>
      </c>
      <c r="B11" s="6"/>
      <c r="C11" s="6"/>
      <c r="D11" s="6"/>
      <c r="E11" s="6"/>
      <c r="F11" s="6"/>
      <c r="G11" s="6"/>
      <c r="H11" s="7" t="str">
        <f t="shared" si="0"/>
        <v/>
      </c>
      <c r="I11" s="7" t="str">
        <f t="shared" si="1"/>
        <v/>
      </c>
    </row>
    <row r="12" ht="14.25" spans="1:9">
      <c r="A12" s="5">
        <v>7</v>
      </c>
      <c r="B12" s="6"/>
      <c r="C12" s="6"/>
      <c r="D12" s="6"/>
      <c r="E12" s="6"/>
      <c r="F12" s="6"/>
      <c r="G12" s="6"/>
      <c r="H12" s="7" t="str">
        <f t="shared" si="0"/>
        <v/>
      </c>
      <c r="I12" s="7" t="str">
        <f t="shared" si="1"/>
        <v/>
      </c>
    </row>
    <row r="13" ht="14.25" spans="1:9">
      <c r="A13" s="5">
        <v>8</v>
      </c>
      <c r="B13" s="6"/>
      <c r="C13" s="6"/>
      <c r="D13" s="6"/>
      <c r="E13" s="6"/>
      <c r="F13" s="6"/>
      <c r="G13" s="6"/>
      <c r="H13" s="7" t="str">
        <f t="shared" si="0"/>
        <v/>
      </c>
      <c r="I13" s="7" t="str">
        <f t="shared" si="1"/>
        <v/>
      </c>
    </row>
    <row r="14" ht="14.25" spans="1:9">
      <c r="A14" s="5">
        <v>9</v>
      </c>
      <c r="B14" s="6"/>
      <c r="C14" s="6"/>
      <c r="D14" s="6"/>
      <c r="E14" s="6"/>
      <c r="F14" s="6"/>
      <c r="G14" s="6"/>
      <c r="H14" s="7" t="str">
        <f t="shared" si="0"/>
        <v/>
      </c>
      <c r="I14" s="7" t="str">
        <f t="shared" si="1"/>
        <v/>
      </c>
    </row>
    <row r="15" ht="14.25" spans="1:9">
      <c r="A15" s="5">
        <v>10</v>
      </c>
      <c r="B15" s="6"/>
      <c r="C15" s="6"/>
      <c r="D15" s="6"/>
      <c r="E15" s="6"/>
      <c r="F15" s="6"/>
      <c r="G15" s="6"/>
      <c r="H15" s="7" t="str">
        <f t="shared" si="0"/>
        <v/>
      </c>
      <c r="I15" s="7" t="str">
        <f t="shared" si="1"/>
        <v/>
      </c>
    </row>
    <row r="16" ht="14.25" spans="1:9">
      <c r="A16" s="5">
        <v>11</v>
      </c>
      <c r="B16" s="6"/>
      <c r="C16" s="6"/>
      <c r="D16" s="6"/>
      <c r="E16" s="6"/>
      <c r="F16" s="6"/>
      <c r="G16" s="6"/>
      <c r="H16" s="7" t="str">
        <f t="shared" si="0"/>
        <v/>
      </c>
      <c r="I16" s="7" t="str">
        <f t="shared" si="1"/>
        <v/>
      </c>
    </row>
    <row r="17" ht="14.25" spans="1:9">
      <c r="A17" s="5">
        <v>12</v>
      </c>
      <c r="B17" s="6"/>
      <c r="C17" s="6"/>
      <c r="D17" s="6"/>
      <c r="E17" s="6"/>
      <c r="F17" s="6"/>
      <c r="G17" s="6"/>
      <c r="H17" s="7" t="str">
        <f t="shared" si="0"/>
        <v/>
      </c>
      <c r="I17" s="7" t="str">
        <f t="shared" si="1"/>
        <v/>
      </c>
    </row>
    <row r="18" ht="14.25" spans="1:9">
      <c r="A18" s="5">
        <v>13</v>
      </c>
      <c r="B18" s="6"/>
      <c r="C18" s="6"/>
      <c r="D18" s="6"/>
      <c r="E18" s="6"/>
      <c r="F18" s="6"/>
      <c r="G18" s="6"/>
      <c r="H18" s="7" t="str">
        <f t="shared" si="0"/>
        <v/>
      </c>
      <c r="I18" s="7" t="str">
        <f t="shared" si="1"/>
        <v/>
      </c>
    </row>
    <row r="19" ht="14.25" spans="1:9">
      <c r="A19" s="5">
        <v>14</v>
      </c>
      <c r="B19" s="6"/>
      <c r="C19" s="6"/>
      <c r="D19" s="6"/>
      <c r="E19" s="6"/>
      <c r="F19" s="6"/>
      <c r="G19" s="6"/>
      <c r="H19" s="7" t="str">
        <f t="shared" si="0"/>
        <v/>
      </c>
      <c r="I19" s="7" t="str">
        <f t="shared" si="1"/>
        <v/>
      </c>
    </row>
    <row r="20" ht="14.25" spans="1:9">
      <c r="A20" s="5">
        <v>15</v>
      </c>
      <c r="B20" s="6"/>
      <c r="C20" s="6"/>
      <c r="D20" s="6"/>
      <c r="E20" s="6"/>
      <c r="F20" s="6"/>
      <c r="G20" s="6"/>
      <c r="H20" s="7" t="str">
        <f t="shared" si="0"/>
        <v/>
      </c>
      <c r="I20" s="7" t="str">
        <f t="shared" si="1"/>
        <v/>
      </c>
    </row>
    <row r="21" ht="14.25" spans="1:9">
      <c r="A21" s="5">
        <v>16</v>
      </c>
      <c r="B21" s="6"/>
      <c r="C21" s="6"/>
      <c r="D21" s="6"/>
      <c r="E21" s="6"/>
      <c r="F21" s="6"/>
      <c r="G21" s="6"/>
      <c r="H21" s="7" t="str">
        <f t="shared" si="0"/>
        <v/>
      </c>
      <c r="I21" s="7" t="str">
        <f t="shared" si="1"/>
        <v/>
      </c>
    </row>
    <row r="22" ht="14.25" spans="1:9">
      <c r="A22" s="5">
        <v>17</v>
      </c>
      <c r="B22" s="6"/>
      <c r="C22" s="6"/>
      <c r="D22" s="6"/>
      <c r="E22" s="6"/>
      <c r="F22" s="6"/>
      <c r="G22" s="6"/>
      <c r="H22" s="7" t="str">
        <f t="shared" si="0"/>
        <v/>
      </c>
      <c r="I22" s="7" t="str">
        <f t="shared" si="1"/>
        <v/>
      </c>
    </row>
    <row r="23" ht="14.25" spans="1:9">
      <c r="A23" s="5">
        <v>18</v>
      </c>
      <c r="B23" s="6"/>
      <c r="C23" s="6"/>
      <c r="D23" s="6"/>
      <c r="E23" s="6"/>
      <c r="F23" s="6"/>
      <c r="G23" s="6"/>
      <c r="H23" s="7" t="str">
        <f t="shared" si="0"/>
        <v/>
      </c>
      <c r="I23" s="7" t="str">
        <f t="shared" si="1"/>
        <v/>
      </c>
    </row>
    <row r="24" ht="14.25" spans="1:9">
      <c r="A24" s="5">
        <v>19</v>
      </c>
      <c r="B24" s="6"/>
      <c r="C24" s="6"/>
      <c r="D24" s="6"/>
      <c r="E24" s="6"/>
      <c r="F24" s="6"/>
      <c r="G24" s="6"/>
      <c r="H24" s="7" t="str">
        <f t="shared" si="0"/>
        <v/>
      </c>
      <c r="I24" s="7" t="str">
        <f t="shared" si="1"/>
        <v/>
      </c>
    </row>
    <row r="25" ht="14.25" spans="1:9">
      <c r="A25" s="5">
        <v>20</v>
      </c>
      <c r="B25" s="6"/>
      <c r="C25" s="6"/>
      <c r="D25" s="6"/>
      <c r="E25" s="6"/>
      <c r="F25" s="6"/>
      <c r="G25" s="6"/>
      <c r="H25" s="7" t="str">
        <f t="shared" si="0"/>
        <v/>
      </c>
      <c r="I25" s="7" t="str">
        <f t="shared" si="1"/>
        <v/>
      </c>
    </row>
    <row r="27" ht="14.25" spans="2:5">
      <c r="B27" s="8" t="s">
        <v>248</v>
      </c>
      <c r="C27" s="8"/>
      <c r="D27" s="8"/>
      <c r="E27" s="8"/>
    </row>
    <row r="28" ht="42.75" spans="2:5">
      <c r="B28" s="9" t="s">
        <v>249</v>
      </c>
      <c r="C28" s="7" t="str">
        <f>IFERROR(AVERAGE(H6:H25),"")</f>
        <v/>
      </c>
      <c r="D28" s="10" t="s">
        <v>76</v>
      </c>
      <c r="E28" s="9" t="s">
        <v>250</v>
      </c>
    </row>
    <row r="29" ht="42.75" spans="2:5">
      <c r="B29" s="9" t="s">
        <v>251</v>
      </c>
      <c r="C29" s="11" t="str">
        <f>IFERROR(AVERAGE(E6:E25),"")</f>
        <v/>
      </c>
      <c r="D29" s="10" t="s">
        <v>252</v>
      </c>
      <c r="E29" s="9"/>
    </row>
    <row r="30" ht="42.75" spans="2:5">
      <c r="B30" s="9" t="s">
        <v>253</v>
      </c>
      <c r="C30" s="11" t="str">
        <f>IFERROR(AVERAGE(F6:F25)+AVERAGE(G6:G25),"")</f>
        <v/>
      </c>
      <c r="D30" s="10" t="s">
        <v>252</v>
      </c>
      <c r="E30" s="9"/>
    </row>
    <row r="31" ht="42.75" spans="2:5">
      <c r="B31" s="9" t="s">
        <v>254</v>
      </c>
      <c r="C31" s="7" t="str">
        <f>IF(OR('08_PoC实测 PoC Log'!C29="",'08_PoC实测 PoC Log'!C29=0),"",1-'08_PoC实测 PoC Log'!C30/'08_PoC实测 PoC Log'!C29)</f>
        <v/>
      </c>
      <c r="D31" s="10" t="s">
        <v>76</v>
      </c>
      <c r="E31" s="9" t="s">
        <v>255</v>
      </c>
    </row>
    <row r="32" ht="57" spans="2:5">
      <c r="B32" s="9" t="s">
        <v>256</v>
      </c>
      <c r="C32" s="7">
        <f>'01_假设 Assumptions'!B28</f>
        <v>0.6</v>
      </c>
      <c r="D32" s="10" t="s">
        <v>76</v>
      </c>
      <c r="E32" s="9" t="s">
        <v>257</v>
      </c>
    </row>
    <row r="33" ht="14.25" spans="2:5">
      <c r="B33" s="9" t="s">
        <v>258</v>
      </c>
      <c r="C33" s="12" t="str">
        <f>IF('08_PoC实测 PoC Log'!C31="","填入样本后自动判断",IF('08_PoC实测 PoC Log'!C31&gt;='08_PoC实测 PoC Log'!C32,"实测不低于假设："&amp;TEXT('08_PoC实测 PoC Log'!C31,"0%")&amp;"，可沿用或上调","实测低于假设 "&amp;TEXT('08_PoC实测 PoC Log'!C31,"0%")&amp;"，建议把假设下调为实测值"))</f>
        <v>填入样本后自动判断</v>
      </c>
      <c r="D33" s="10"/>
      <c r="E33" s="9"/>
    </row>
  </sheetData>
  <mergeCells count="2">
    <mergeCell ref="A4:I4"/>
    <mergeCell ref="B27:E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00_摘要 Summary</vt:lpstr>
      <vt:lpstr>01_假设 Assumptions</vt:lpstr>
      <vt:lpstr>02_基线 Baseline</vt:lpstr>
      <vt:lpstr>03_收益 Benefit</vt:lpstr>
      <vt:lpstr>04_ROI 回报</vt:lpstr>
      <vt:lpstr>05_月现金流 Ramp</vt:lpstr>
      <vt:lpstr>06_情景 Scenario</vt:lpstr>
      <vt:lpstr>07_敏感性 Sensitivity</vt:lpstr>
      <vt:lpstr>08_PoC实测 PoC Log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锦华</cp:lastModifiedBy>
  <dcterms:created xsi:type="dcterms:W3CDTF">2026-09-19T02:27:00Z</dcterms:created>
  <dcterms:modified xsi:type="dcterms:W3CDTF">2026-09-19T02:35:56Z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6B27397E944042BAB2A64C4075AD792E_12</vt:lpwstr>
  </property>
  <property fmtid="{D5CDD505-2E9C-101B-9397-08002B2CF9AE}" pid="3" name="KSOProductBuildVer">
    <vt:lpwstr>2052-12.1.0.21915</vt:lpwstr>
  </property>
</Properties>
</file>